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ri\INVESTICE\nám. Republiky_Stará radnice\VZ\info panely pro naučné stezky\rozpočet\"/>
    </mc:Choice>
  </mc:AlternateContent>
  <xr:revisionPtr revIDLastSave="0" documentId="13_ncr:1_{84028841-2F50-49E0-970E-FF1FDEEEB9B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rycí list rozpočtu" sheetId="1" r:id="rId1"/>
    <sheet name="VORN" sheetId="2" state="hidden" r:id="rId2"/>
    <sheet name="Stavební rozpočet" sheetId="3" r:id="rId3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U31" i="3" l="1"/>
  <c r="BJ31" i="3"/>
  <c r="BF31" i="3"/>
  <c r="BD31" i="3"/>
  <c r="AP31" i="3"/>
  <c r="BI31" i="3" s="1"/>
  <c r="AO31" i="3"/>
  <c r="BH31" i="3" s="1"/>
  <c r="AK31" i="3"/>
  <c r="AJ31" i="3"/>
  <c r="AS26" i="3" s="1"/>
  <c r="AH31" i="3"/>
  <c r="AG31" i="3"/>
  <c r="AF31" i="3"/>
  <c r="AE31" i="3"/>
  <c r="AD31" i="3"/>
  <c r="AC31" i="3"/>
  <c r="AB31" i="3"/>
  <c r="Z31" i="3"/>
  <c r="H31" i="3"/>
  <c r="AL31" i="3" s="1"/>
  <c r="BU30" i="3"/>
  <c r="BJ30" i="3"/>
  <c r="BF30" i="3"/>
  <c r="BD30" i="3"/>
  <c r="AP30" i="3"/>
  <c r="BI30" i="3" s="1"/>
  <c r="AO30" i="3"/>
  <c r="AW30" i="3" s="1"/>
  <c r="AK30" i="3"/>
  <c r="AJ30" i="3"/>
  <c r="AH30" i="3"/>
  <c r="AG30" i="3"/>
  <c r="AF30" i="3"/>
  <c r="AE30" i="3"/>
  <c r="AD30" i="3"/>
  <c r="AC30" i="3"/>
  <c r="AB30" i="3"/>
  <c r="Z30" i="3"/>
  <c r="H30" i="3"/>
  <c r="AL30" i="3" s="1"/>
  <c r="BU29" i="3"/>
  <c r="BJ29" i="3"/>
  <c r="BF29" i="3"/>
  <c r="BD29" i="3"/>
  <c r="AP29" i="3"/>
  <c r="BI29" i="3" s="1"/>
  <c r="AO29" i="3"/>
  <c r="AW29" i="3" s="1"/>
  <c r="AK29" i="3"/>
  <c r="AJ29" i="3"/>
  <c r="AH29" i="3"/>
  <c r="AG29" i="3"/>
  <c r="AF29" i="3"/>
  <c r="AE29" i="3"/>
  <c r="AD29" i="3"/>
  <c r="AC29" i="3"/>
  <c r="AB29" i="3"/>
  <c r="Z29" i="3"/>
  <c r="H29" i="3"/>
  <c r="AL29" i="3" s="1"/>
  <c r="BU28" i="3"/>
  <c r="BJ28" i="3"/>
  <c r="BF28" i="3"/>
  <c r="BD28" i="3"/>
  <c r="AP28" i="3"/>
  <c r="BI28" i="3" s="1"/>
  <c r="AO28" i="3"/>
  <c r="AW28" i="3" s="1"/>
  <c r="AK28" i="3"/>
  <c r="AJ28" i="3"/>
  <c r="AH28" i="3"/>
  <c r="AG28" i="3"/>
  <c r="AF28" i="3"/>
  <c r="AE28" i="3"/>
  <c r="AD28" i="3"/>
  <c r="AC28" i="3"/>
  <c r="AB28" i="3"/>
  <c r="Z28" i="3"/>
  <c r="H28" i="3"/>
  <c r="AL28" i="3" s="1"/>
  <c r="BU27" i="3"/>
  <c r="BJ27" i="3"/>
  <c r="BF27" i="3"/>
  <c r="BD27" i="3"/>
  <c r="AP27" i="3"/>
  <c r="BI27" i="3" s="1"/>
  <c r="AO27" i="3"/>
  <c r="AW27" i="3" s="1"/>
  <c r="AK27" i="3"/>
  <c r="AJ27" i="3"/>
  <c r="AH27" i="3"/>
  <c r="AG27" i="3"/>
  <c r="AF27" i="3"/>
  <c r="AE27" i="3"/>
  <c r="AD27" i="3"/>
  <c r="AC27" i="3"/>
  <c r="AB27" i="3"/>
  <c r="Z27" i="3"/>
  <c r="H27" i="3"/>
  <c r="AL27" i="3" s="1"/>
  <c r="BJ24" i="3"/>
  <c r="BF24" i="3"/>
  <c r="BD24" i="3"/>
  <c r="AP24" i="3"/>
  <c r="BI24" i="3" s="1"/>
  <c r="AO24" i="3"/>
  <c r="AW24" i="3" s="1"/>
  <c r="AK24" i="3"/>
  <c r="AJ24" i="3"/>
  <c r="AH24" i="3"/>
  <c r="AG24" i="3"/>
  <c r="AF24" i="3"/>
  <c r="AE24" i="3"/>
  <c r="AD24" i="3"/>
  <c r="AC24" i="3"/>
  <c r="AB24" i="3"/>
  <c r="Z24" i="3"/>
  <c r="H24" i="3"/>
  <c r="AL24" i="3" s="1"/>
  <c r="BJ22" i="3"/>
  <c r="BF22" i="3"/>
  <c r="BD22" i="3"/>
  <c r="AP22" i="3"/>
  <c r="BI22" i="3" s="1"/>
  <c r="AE22" i="3" s="1"/>
  <c r="AO22" i="3"/>
  <c r="BH22" i="3" s="1"/>
  <c r="AD22" i="3" s="1"/>
  <c r="AK22" i="3"/>
  <c r="AJ22" i="3"/>
  <c r="AH22" i="3"/>
  <c r="AG22" i="3"/>
  <c r="AF22" i="3"/>
  <c r="AC22" i="3"/>
  <c r="AB22" i="3"/>
  <c r="Z22" i="3"/>
  <c r="H22" i="3"/>
  <c r="AL22" i="3" s="1"/>
  <c r="BJ20" i="3"/>
  <c r="BF20" i="3"/>
  <c r="BD20" i="3"/>
  <c r="AP20" i="3"/>
  <c r="AX20" i="3" s="1"/>
  <c r="AO20" i="3"/>
  <c r="BH20" i="3" s="1"/>
  <c r="AD20" i="3" s="1"/>
  <c r="AK20" i="3"/>
  <c r="AJ20" i="3"/>
  <c r="AH20" i="3"/>
  <c r="AG20" i="3"/>
  <c r="AF20" i="3"/>
  <c r="AC20" i="3"/>
  <c r="AB20" i="3"/>
  <c r="Z20" i="3"/>
  <c r="H20" i="3"/>
  <c r="AL20" i="3" s="1"/>
  <c r="BJ18" i="3"/>
  <c r="BF18" i="3"/>
  <c r="BD18" i="3"/>
  <c r="AP18" i="3"/>
  <c r="AX18" i="3" s="1"/>
  <c r="AO18" i="3"/>
  <c r="AW18" i="3" s="1"/>
  <c r="AK18" i="3"/>
  <c r="AJ18" i="3"/>
  <c r="AH18" i="3"/>
  <c r="AG18" i="3"/>
  <c r="AF18" i="3"/>
  <c r="AC18" i="3"/>
  <c r="AB18" i="3"/>
  <c r="Z18" i="3"/>
  <c r="H18" i="3"/>
  <c r="AL18" i="3" s="1"/>
  <c r="BJ16" i="3"/>
  <c r="BF16" i="3"/>
  <c r="BD16" i="3"/>
  <c r="AP16" i="3"/>
  <c r="AX16" i="3" s="1"/>
  <c r="AO16" i="3"/>
  <c r="AW16" i="3" s="1"/>
  <c r="AK16" i="3"/>
  <c r="AJ16" i="3"/>
  <c r="AH16" i="3"/>
  <c r="AG16" i="3"/>
  <c r="AF16" i="3"/>
  <c r="AC16" i="3"/>
  <c r="AB16" i="3"/>
  <c r="Z16" i="3"/>
  <c r="H16" i="3"/>
  <c r="AL16" i="3" s="1"/>
  <c r="BJ14" i="3"/>
  <c r="BF14" i="3"/>
  <c r="BD14" i="3"/>
  <c r="AP14" i="3"/>
  <c r="BI14" i="3" s="1"/>
  <c r="AE14" i="3" s="1"/>
  <c r="AO14" i="3"/>
  <c r="AW14" i="3" s="1"/>
  <c r="AK14" i="3"/>
  <c r="AJ14" i="3"/>
  <c r="AH14" i="3"/>
  <c r="AG14" i="3"/>
  <c r="AF14" i="3"/>
  <c r="AC14" i="3"/>
  <c r="AB14" i="3"/>
  <c r="Z14" i="3"/>
  <c r="H14" i="3"/>
  <c r="AL14" i="3" s="1"/>
  <c r="AU1" i="3"/>
  <c r="AT1" i="3"/>
  <c r="AS1" i="3"/>
  <c r="F44" i="2"/>
  <c r="I44" i="2" s="1"/>
  <c r="F43" i="2"/>
  <c r="I43" i="2" s="1"/>
  <c r="F42" i="2"/>
  <c r="I42" i="2" s="1"/>
  <c r="F41" i="2"/>
  <c r="I41" i="2" s="1"/>
  <c r="F40" i="2"/>
  <c r="I40" i="2" s="1"/>
  <c r="I39" i="2"/>
  <c r="F39" i="2"/>
  <c r="F38" i="2"/>
  <c r="I38" i="2" s="1"/>
  <c r="F37" i="2"/>
  <c r="I37" i="2" s="1"/>
  <c r="F36" i="2"/>
  <c r="I36" i="2" s="1"/>
  <c r="F35" i="2"/>
  <c r="I35" i="2" s="1"/>
  <c r="I26" i="2"/>
  <c r="I19" i="1" s="1"/>
  <c r="I25" i="2"/>
  <c r="I24" i="2"/>
  <c r="I23" i="2"/>
  <c r="I22" i="2"/>
  <c r="I15" i="1" s="1"/>
  <c r="I21" i="2"/>
  <c r="I17" i="2"/>
  <c r="I16" i="2"/>
  <c r="F15" i="1" s="1"/>
  <c r="I15" i="2"/>
  <c r="F14" i="1" s="1"/>
  <c r="I10" i="2"/>
  <c r="F10" i="2"/>
  <c r="C10" i="2"/>
  <c r="F8" i="2"/>
  <c r="C8" i="2"/>
  <c r="F6" i="2"/>
  <c r="C6" i="2"/>
  <c r="F4" i="2"/>
  <c r="C4" i="2"/>
  <c r="F2" i="2"/>
  <c r="C2" i="2"/>
  <c r="I18" i="1"/>
  <c r="I17" i="1"/>
  <c r="I16" i="1"/>
  <c r="F16" i="1"/>
  <c r="I10" i="1"/>
  <c r="F10" i="1"/>
  <c r="C10" i="1"/>
  <c r="F8" i="1"/>
  <c r="C8" i="1"/>
  <c r="F6" i="1"/>
  <c r="C6" i="1"/>
  <c r="F4" i="1"/>
  <c r="C4" i="1"/>
  <c r="F2" i="1"/>
  <c r="C2" i="1"/>
  <c r="C21" i="1" l="1"/>
  <c r="AT26" i="3"/>
  <c r="AS13" i="3"/>
  <c r="C20" i="1"/>
  <c r="AX22" i="3"/>
  <c r="AW20" i="3"/>
  <c r="AV20" i="3" s="1"/>
  <c r="C14" i="1"/>
  <c r="C18" i="1"/>
  <c r="C19" i="1"/>
  <c r="C15" i="1"/>
  <c r="AX14" i="3"/>
  <c r="AT13" i="3"/>
  <c r="AW31" i="3"/>
  <c r="AV31" i="3" s="1"/>
  <c r="F22" i="1"/>
  <c r="I27" i="2"/>
  <c r="H26" i="3"/>
  <c r="H25" i="3" s="1"/>
  <c r="AV18" i="3"/>
  <c r="BC18" i="3"/>
  <c r="BC14" i="3"/>
  <c r="AV14" i="3"/>
  <c r="C29" i="1"/>
  <c r="F29" i="1" s="1"/>
  <c r="AU13" i="3"/>
  <c r="AV16" i="3"/>
  <c r="BC16" i="3"/>
  <c r="AU26" i="3"/>
  <c r="I45" i="2"/>
  <c r="I24" i="1" s="1"/>
  <c r="H13" i="3"/>
  <c r="BH14" i="3"/>
  <c r="AD14" i="3" s="1"/>
  <c r="AX27" i="3"/>
  <c r="AV27" i="3" s="1"/>
  <c r="BH27" i="3"/>
  <c r="AX28" i="3"/>
  <c r="BC28" i="3" s="1"/>
  <c r="BH28" i="3"/>
  <c r="AX29" i="3"/>
  <c r="AV29" i="3" s="1"/>
  <c r="BH29" i="3"/>
  <c r="AX30" i="3"/>
  <c r="BC30" i="3" s="1"/>
  <c r="BH30" i="3"/>
  <c r="AX31" i="3"/>
  <c r="BC31" i="3" s="1"/>
  <c r="BI16" i="3"/>
  <c r="AE16" i="3" s="1"/>
  <c r="BH16" i="3"/>
  <c r="AD16" i="3" s="1"/>
  <c r="BI18" i="3"/>
  <c r="AE18" i="3" s="1"/>
  <c r="AW22" i="3"/>
  <c r="AX24" i="3"/>
  <c r="AV24" i="3" s="1"/>
  <c r="BH24" i="3"/>
  <c r="I14" i="1"/>
  <c r="I22" i="1" s="1"/>
  <c r="C28" i="1"/>
  <c r="F28" i="1" s="1"/>
  <c r="I18" i="2"/>
  <c r="F29" i="2" s="1"/>
  <c r="BH18" i="3"/>
  <c r="AD18" i="3" s="1"/>
  <c r="BI20" i="3"/>
  <c r="AE20" i="3" s="1"/>
  <c r="C27" i="1"/>
  <c r="BC20" i="3" l="1"/>
  <c r="I28" i="1"/>
  <c r="I29" i="1" s="1"/>
  <c r="C17" i="1"/>
  <c r="BC22" i="3"/>
  <c r="AV22" i="3"/>
  <c r="AV30" i="3"/>
  <c r="AV28" i="3"/>
  <c r="BC27" i="3"/>
  <c r="BC24" i="3"/>
  <c r="BC29" i="3"/>
  <c r="H12" i="3"/>
  <c r="H32" i="3"/>
  <c r="C16" i="1"/>
  <c r="C22" i="1" l="1"/>
</calcChain>
</file>

<file path=xl/sharedStrings.xml><?xml version="1.0" encoding="utf-8"?>
<sst xmlns="http://schemas.openxmlformats.org/spreadsheetml/2006/main" count="413" uniqueCount="158">
  <si>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</si>
  <si>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</si>
  <si>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</si>
  <si>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</si>
  <si>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</si>
  <si>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</si>
  <si>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</si>
  <si>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</si>
  <si>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</si>
  <si>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</si>
  <si>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</si>
  <si>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</si>
  <si>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</si>
  <si>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</si>
  <si>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</si>
  <si>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</si>
  <si>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</si>
  <si>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</si>
  <si>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</si>
  <si>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</si>
  <si>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</si>
  <si>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</si>
  <si>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</si>
  <si>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</si>
  <si>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</si>
  <si>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</si>
  <si>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</si>
  <si>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</si>
  <si>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</si>
  <si>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</si>
  <si>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</si>
  <si>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</si>
  <si>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</si>
  <si>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</si>
  <si>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</si>
  <si>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</si>
  <si>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</si>
  <si>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</si>
  <si>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</si>
  <si>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</si>
  <si>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</si>
  <si>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</si>
  <si>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</si>
  <si>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</si>
  <si>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</si>
  <si>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</si>
  <si>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</si>
  <si>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</si>
  <si>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</si>
  <si>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</si>
  <si>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</si>
  <si>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</si>
  <si>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</si>
  <si>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</si>
  <si>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</si>
  <si>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</si>
  <si>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</si>
  <si>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</si>
  <si>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</si>
  <si>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</si>
  <si>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</si>
  <si>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</si>
  <si>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</si>
  <si>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</si>
  <si>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</si>
  <si>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</si>
  <si>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</si>
  <si>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</si>
  <si>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</si>
  <si>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</si>
  <si>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</si>
  <si>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</si>
  <si>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</si>
  <si>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</si>
  <si>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</si>
  <si>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</si>
  <si>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</si>
  <si>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Žďárský okruh - info stojany  Žďár nad Sázavou</t>
  </si>
  <si>
    <t>Doba výstavby:</t>
  </si>
  <si>
    <t xml:space="preserve"> </t>
  </si>
  <si>
    <t> </t>
  </si>
  <si>
    <t>Naučná stezka</t>
  </si>
  <si>
    <t>Zpracováno dne: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</si>
  <si>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</si>
  <si>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</si>
  <si>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</si>
  <si>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</si>
  <si>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</si>
  <si>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</si>
  <si>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</si>
  <si>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</si>
  <si>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</si>
  <si>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</si>
  <si>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</si>
  <si>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</si>
  <si>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</si>
  <si>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</si>
  <si>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</si>
  <si>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</si>
  <si>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</si>
  <si>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</si>
  <si>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</si>
  <si>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</si>
  <si>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</si>
  <si>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</si>
  <si>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</si>
  <si>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</si>
  <si>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</si>
  <si>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</si>
  <si>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767</t>
  </si>
  <si>
    <t>Konstrukce doplňkové stavební (zámečnické)</t>
  </si>
  <si>
    <t>1</t>
  </si>
  <si>
    <t>767. 01</t>
  </si>
  <si>
    <t>Zhotovení kov. stojan trojúh. 25x25x25x180 cm, dl. 260 cm, rotace podle středu, provedení antivandal</t>
  </si>
  <si>
    <t>ks</t>
  </si>
  <si>
    <t>7</t>
  </si>
  <si>
    <t>767_</t>
  </si>
  <si>
    <t>_76_</t>
  </si>
  <si>
    <t>_</t>
  </si>
  <si>
    <t>P</t>
  </si>
  <si>
    <t>Varianta:</t>
  </si>
  <si>
    <t>odolné UV,  vč. tiskařských prací - viz. tech. dokumentace</t>
  </si>
  <si>
    <t>2</t>
  </si>
  <si>
    <t>767. 02</t>
  </si>
  <si>
    <t>Montáž stojanu do fixní šachty 70 cm nosník stojanu v podzemní část, beton C25/30</t>
  </si>
  <si>
    <t>vč. zemních prací,  viz. tech. dokumentace</t>
  </si>
  <si>
    <t>3</t>
  </si>
  <si>
    <t>767. 03</t>
  </si>
  <si>
    <t>Montáž stojanu na již existující betonové podloží</t>
  </si>
  <si>
    <t>viz. tech. dokumentace</t>
  </si>
  <si>
    <t>4</t>
  </si>
  <si>
    <t>767. 04</t>
  </si>
  <si>
    <t>Zhotovení a montáž infopanel - Radnice   130x90 cm, provedení antivandal</t>
  </si>
  <si>
    <t>5</t>
  </si>
  <si>
    <t>767. 05</t>
  </si>
  <si>
    <t>Zhotovení a montáž infopanel - Parkoviště u zámku, dvoustranný 170x92 cm, provedení antivandal</t>
  </si>
  <si>
    <t>6</t>
  </si>
  <si>
    <t>998767201R00</t>
  </si>
  <si>
    <t>Přesun hmot pro zámečnické konstr.</t>
  </si>
  <si>
    <t>VORN</t>
  </si>
  <si>
    <t>09VRN</t>
  </si>
  <si>
    <t>013002VRN</t>
  </si>
  <si>
    <t>Vytyčení inž. sítí</t>
  </si>
  <si>
    <t>Soubor</t>
  </si>
  <si>
    <t>99</t>
  </si>
  <si>
    <t>09VRN_</t>
  </si>
  <si>
    <t>_Â _</t>
  </si>
  <si>
    <t>8</t>
  </si>
  <si>
    <t>030001VRN</t>
  </si>
  <si>
    <t>9</t>
  </si>
  <si>
    <t>049002VRN</t>
  </si>
  <si>
    <t>Zaměření mobiliaře do DTM</t>
  </si>
  <si>
    <t>10</t>
  </si>
  <si>
    <t>065002VRN</t>
  </si>
  <si>
    <t>Mimostaveništní doprava</t>
  </si>
  <si>
    <t>11</t>
  </si>
  <si>
    <t>090001VRN</t>
  </si>
  <si>
    <t>Zajištění pracoviště pro vstup neoprávněných osob po dobu montáží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</si>
</sst>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sz val="10"/>
      <color rgb="FF400040"/>
      <name val="Arial"/>
      <charset val="238"/>
    </font>
    <font>
      <b/>
      <sz val="10"/>
      <color rgb="FF400040"/>
      <name val="Arial"/>
      <charset val="238"/>
    </font>
    <font>
      <i/>
      <sz val="10"/>
      <color rgb="FF000000"/>
      <name val="Arial"/>
      <charset val="238"/>
    </font>
    <font>
      <i/>
      <sz val="10"/>
      <color rgb="FF40004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EAEAEA"/>
        <bgColor rgb="FFEAEAEA"/>
      </patternFill>
    </fill>
    <fill>
      <patternFill patternType="solid">
        <fgColor rgb="FFCCFFFF"/>
        <bgColor rgb="FFCCFFFF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4" fontId="8" fillId="0" borderId="16" xfId="0" applyNumberFormat="1" applyFont="1" applyFill="1" applyBorder="1" applyAlignment="1" applyProtection="1">
      <alignment horizontal="right" vertical="center"/>
    </xf>
    <xf numFmtId="0" fontId="8" fillId="0" borderId="16" xfId="0" applyNumberFormat="1" applyFont="1" applyFill="1" applyBorder="1" applyAlignment="1" applyProtection="1">
      <alignment horizontal="right" vertical="center"/>
    </xf>
    <xf numFmtId="0" fontId="7" fillId="0" borderId="19" xfId="0" applyNumberFormat="1" applyFont="1" applyFill="1" applyBorder="1" applyAlignment="1" applyProtection="1">
      <alignment horizontal="left" vertical="center"/>
    </xf>
    <xf numFmtId="4" fontId="8" fillId="0" borderId="23" xfId="0" applyNumberFormat="1" applyFont="1" applyFill="1" applyBorder="1" applyAlignment="1" applyProtection="1">
      <alignment horizontal="right" vertical="center"/>
    </xf>
    <xf numFmtId="0" fontId="8" fillId="0" borderId="23" xfId="0" applyNumberFormat="1" applyFont="1" applyFill="1" applyBorder="1" applyAlignment="1" applyProtection="1">
      <alignment horizontal="right" vertical="center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8" fillId="0" borderId="26" xfId="0" applyNumberFormat="1" applyFont="1" applyFill="1" applyBorder="1" applyAlignment="1" applyProtection="1">
      <alignment horizontal="right" vertical="center"/>
    </xf>
    <xf numFmtId="4" fontId="7" fillId="2" borderId="13" xfId="0" applyNumberFormat="1" applyFont="1" applyFill="1" applyBorder="1" applyAlignment="1" applyProtection="1">
      <alignment horizontal="right" vertical="center"/>
    </xf>
    <xf numFmtId="4" fontId="7" fillId="2" borderId="18" xfId="0" applyNumberFormat="1" applyFont="1" applyFill="1" applyBorder="1" applyAlignment="1" applyProtection="1">
      <alignment horizontal="right" vertical="center"/>
    </xf>
    <xf numFmtId="0" fontId="9" fillId="0" borderId="40" xfId="0" applyNumberFormat="1" applyFont="1" applyFill="1" applyBorder="1" applyAlignment="1" applyProtection="1">
      <alignment horizontal="left" vertical="center"/>
    </xf>
    <xf numFmtId="0" fontId="3" fillId="0" borderId="45" xfId="0" applyNumberFormat="1" applyFont="1" applyFill="1" applyBorder="1" applyAlignment="1" applyProtection="1">
      <alignment horizontal="right"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4" fontId="2" fillId="0" borderId="49" xfId="0" applyNumberFormat="1" applyFont="1" applyFill="1" applyBorder="1" applyAlignment="1" applyProtection="1">
      <alignment horizontal="right" vertical="center"/>
    </xf>
    <xf numFmtId="0" fontId="2" fillId="0" borderId="49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right" vertical="center"/>
    </xf>
    <xf numFmtId="4" fontId="3" fillId="0" borderId="53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56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center" vertical="center"/>
    </xf>
    <xf numFmtId="0" fontId="3" fillId="3" borderId="60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NumberFormat="1" applyFont="1" applyFill="1" applyBorder="1" applyAlignment="1" applyProtection="1">
      <alignment horizontal="center" vertical="center"/>
    </xf>
    <xf numFmtId="0" fontId="0" fillId="0" borderId="6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3" xfId="0" applyNumberFormat="1" applyFont="1" applyFill="1" applyBorder="1" applyAlignment="1" applyProtection="1">
      <alignment horizontal="left" vertical="center"/>
    </xf>
    <xf numFmtId="0" fontId="2" fillId="0" borderId="64" xfId="0" applyNumberFormat="1" applyFont="1" applyFill="1" applyBorder="1" applyAlignment="1" applyProtection="1">
      <alignment horizontal="left" vertical="center"/>
    </xf>
    <xf numFmtId="0" fontId="3" fillId="3" borderId="64" xfId="0" applyNumberFormat="1" applyFont="1" applyFill="1" applyBorder="1" applyAlignment="1" applyProtection="1">
      <alignment horizontal="center" vertical="center"/>
      <protection locked="0"/>
    </xf>
    <xf numFmtId="0" fontId="3" fillId="0" borderId="6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/>
    <xf numFmtId="0" fontId="10" fillId="4" borderId="68" xfId="0" applyNumberFormat="1" applyFont="1" applyFill="1" applyBorder="1" applyAlignment="1" applyProtection="1">
      <alignment horizontal="left" vertical="center"/>
    </xf>
    <xf numFmtId="0" fontId="11" fillId="4" borderId="40" xfId="0" applyNumberFormat="1" applyFont="1" applyFill="1" applyBorder="1" applyAlignment="1" applyProtection="1">
      <alignment horizontal="left" vertical="center"/>
    </xf>
    <xf numFmtId="0" fontId="10" fillId="4" borderId="40" xfId="0" applyNumberFormat="1" applyFont="1" applyFill="1" applyBorder="1" applyAlignment="1" applyProtection="1">
      <alignment horizontal="left" vertical="center"/>
    </xf>
    <xf numFmtId="0" fontId="10" fillId="5" borderId="40" xfId="0" applyNumberFormat="1" applyFont="1" applyFill="1" applyBorder="1" applyAlignment="1" applyProtection="1">
      <alignment horizontal="left" vertical="center"/>
      <protection locked="0"/>
    </xf>
    <xf numFmtId="4" fontId="11" fillId="4" borderId="40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5" borderId="0" xfId="0" applyNumberFormat="1" applyFont="1" applyFill="1" applyBorder="1" applyAlignment="1" applyProtection="1">
      <alignment horizontal="lef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 vertical="center"/>
    </xf>
    <xf numFmtId="4" fontId="2" fillId="0" borderId="8" xfId="0" applyNumberFormat="1" applyFont="1" applyFill="1" applyBorder="1" applyAlignment="1" applyProtection="1">
      <alignment horizontal="right" vertical="center"/>
    </xf>
    <xf numFmtId="4" fontId="2" fillId="3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4" fontId="3" fillId="0" borderId="69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8" fillId="0" borderId="30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0" fontId="8" fillId="0" borderId="35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34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37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29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0" fontId="8" fillId="0" borderId="36" xfId="0" applyNumberFormat="1" applyFont="1" applyFill="1" applyBorder="1" applyAlignment="1" applyProtection="1">
      <alignment horizontal="left" vertical="center"/>
    </xf>
    <xf numFmtId="0" fontId="7" fillId="0" borderId="20" xfId="0" applyNumberFormat="1" applyFont="1" applyFill="1" applyBorder="1" applyAlignment="1" applyProtection="1">
      <alignment horizontal="left" vertical="center"/>
    </xf>
    <xf numFmtId="0" fontId="7" fillId="0" borderId="18" xfId="0" applyNumberFormat="1" applyFont="1" applyFill="1" applyBorder="1" applyAlignment="1" applyProtection="1">
      <alignment horizontal="left" vertical="center"/>
    </xf>
    <xf numFmtId="0" fontId="7" fillId="2" borderId="25" xfId="0" applyNumberFormat="1" applyFont="1" applyFill="1" applyBorder="1" applyAlignment="1" applyProtection="1">
      <alignment horizontal="left" vertical="center"/>
    </xf>
    <xf numFmtId="0" fontId="7" fillId="2" borderId="27" xfId="0" applyNumberFormat="1" applyFont="1" applyFill="1" applyBorder="1" applyAlignment="1" applyProtection="1">
      <alignment horizontal="left" vertical="center"/>
    </xf>
    <xf numFmtId="0" fontId="7" fillId="2" borderId="20" xfId="0" applyNumberFormat="1" applyFont="1" applyFill="1" applyBorder="1" applyAlignment="1" applyProtection="1">
      <alignment horizontal="left" vertical="center"/>
    </xf>
    <xf numFmtId="0" fontId="7" fillId="2" borderId="28" xfId="0" applyNumberFormat="1" applyFont="1" applyFill="1" applyBorder="1" applyAlignment="1" applyProtection="1">
      <alignment horizontal="left" vertical="center"/>
    </xf>
    <xf numFmtId="0" fontId="7" fillId="2" borderId="12" xfId="0" applyNumberFormat="1" applyFont="1" applyFill="1" applyBorder="1" applyAlignment="1" applyProtection="1">
      <alignment horizontal="left" vertical="center"/>
    </xf>
    <xf numFmtId="0" fontId="7" fillId="2" borderId="17" xfId="0" applyNumberFormat="1" applyFont="1" applyFill="1" applyBorder="1" applyAlignment="1" applyProtection="1">
      <alignment horizontal="left" vertical="center"/>
    </xf>
    <xf numFmtId="0" fontId="8" fillId="0" borderId="17" xfId="0" applyNumberFormat="1" applyFont="1" applyFill="1" applyBorder="1" applyAlignment="1" applyProtection="1">
      <alignment horizontal="left" vertical="center"/>
    </xf>
    <xf numFmtId="0" fontId="8" fillId="0" borderId="18" xfId="0" applyNumberFormat="1" applyFont="1" applyFill="1" applyBorder="1" applyAlignment="1" applyProtection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0" fontId="8" fillId="0" borderId="22" xfId="0" applyNumberFormat="1" applyFont="1" applyFill="1" applyBorder="1" applyAlignment="1" applyProtection="1">
      <alignment horizontal="left" vertical="center"/>
    </xf>
    <xf numFmtId="0" fontId="7" fillId="0" borderId="12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7" fillId="0" borderId="17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5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2" fillId="0" borderId="20" xfId="0" applyNumberFormat="1" applyFont="1" applyFill="1" applyBorder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2" fillId="0" borderId="46" xfId="0" applyNumberFormat="1" applyFont="1" applyFill="1" applyBorder="1" applyAlignment="1" applyProtection="1">
      <alignment horizontal="left" vertical="center"/>
    </xf>
    <xf numFmtId="0" fontId="2" fillId="0" borderId="47" xfId="0" applyNumberFormat="1" applyFont="1" applyFill="1" applyBorder="1" applyAlignment="1" applyProtection="1">
      <alignment horizontal="left" vertical="center"/>
    </xf>
    <xf numFmtId="0" fontId="2" fillId="0" borderId="48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left" vertical="center"/>
    </xf>
    <xf numFmtId="0" fontId="7" fillId="0" borderId="50" xfId="0" applyNumberFormat="1" applyFont="1" applyFill="1" applyBorder="1" applyAlignment="1" applyProtection="1">
      <alignment horizontal="left" vertical="center"/>
    </xf>
    <xf numFmtId="0" fontId="7" fillId="0" borderId="51" xfId="0" applyNumberFormat="1" applyFont="1" applyFill="1" applyBorder="1" applyAlignment="1" applyProtection="1">
      <alignment horizontal="left" vertical="center"/>
    </xf>
    <xf numFmtId="0" fontId="7" fillId="0" borderId="52" xfId="0" applyNumberFormat="1" applyFont="1" applyFill="1" applyBorder="1" applyAlignment="1" applyProtection="1">
      <alignment horizontal="left" vertical="center"/>
    </xf>
    <xf numFmtId="4" fontId="7" fillId="0" borderId="54" xfId="0" applyNumberFormat="1" applyFont="1" applyFill="1" applyBorder="1" applyAlignment="1" applyProtection="1">
      <alignment horizontal="right" vertical="center"/>
    </xf>
    <xf numFmtId="0" fontId="7" fillId="0" borderId="51" xfId="0" applyNumberFormat="1" applyFont="1" applyFill="1" applyBorder="1" applyAlignment="1" applyProtection="1">
      <alignment horizontal="right" vertical="center"/>
    </xf>
    <xf numFmtId="0" fontId="7" fillId="0" borderId="52" xfId="0" applyNumberFormat="1" applyFont="1" applyFill="1" applyBorder="1" applyAlignment="1" applyProtection="1">
      <alignment horizontal="right" vertical="center"/>
    </xf>
    <xf numFmtId="0" fontId="7" fillId="0" borderId="41" xfId="0" applyNumberFormat="1" applyFont="1" applyFill="1" applyBorder="1" applyAlignment="1" applyProtection="1">
      <alignment horizontal="left" vertical="center"/>
    </xf>
    <xf numFmtId="0" fontId="3" fillId="0" borderId="42" xfId="0" applyNumberFormat="1" applyFont="1" applyFill="1" applyBorder="1" applyAlignment="1" applyProtection="1">
      <alignment horizontal="left" vertical="center"/>
    </xf>
    <xf numFmtId="0" fontId="3" fillId="0" borderId="43" xfId="0" applyNumberFormat="1" applyFont="1" applyFill="1" applyBorder="1" applyAlignment="1" applyProtection="1">
      <alignment horizontal="left" vertical="center"/>
    </xf>
    <xf numFmtId="0" fontId="3" fillId="0" borderId="44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3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6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66" xfId="0" applyNumberFormat="1" applyFont="1" applyFill="1" applyBorder="1" applyAlignment="1" applyProtection="1">
      <alignment horizontal="left" vertical="center"/>
    </xf>
    <xf numFmtId="0" fontId="11" fillId="4" borderId="40" xfId="0" applyNumberFormat="1" applyFont="1" applyFill="1" applyBorder="1" applyAlignment="1" applyProtection="1">
      <alignment horizontal="left" vertical="center" wrapText="1"/>
    </xf>
    <xf numFmtId="0" fontId="11" fillId="4" borderId="4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3" borderId="8" xfId="0" applyNumberFormat="1" applyFont="1" applyFill="1" applyBorder="1" applyAlignment="1" applyProtection="1">
      <alignment horizontal="left" vertical="center"/>
      <protection locked="0"/>
    </xf>
    <xf numFmtId="0" fontId="2" fillId="3" borderId="9" xfId="0" applyNumberFormat="1" applyFont="1" applyFill="1" applyBorder="1" applyAlignment="1" applyProtection="1">
      <alignment horizontal="left" vertical="center"/>
      <protection locked="0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2" fillId="0" borderId="41" xfId="0" applyNumberFormat="1" applyFont="1" applyFill="1" applyBorder="1" applyAlignment="1" applyProtection="1">
      <alignment horizontal="left" vertical="center"/>
    </xf>
    <xf numFmtId="0" fontId="2" fillId="3" borderId="3" xfId="0" applyNumberFormat="1" applyFont="1" applyFill="1" applyBorder="1" applyAlignment="1" applyProtection="1">
      <alignment horizontal="left" vertical="center"/>
      <protection locked="0"/>
    </xf>
    <xf numFmtId="0" fontId="2" fillId="3" borderId="41" xfId="0" applyNumberFormat="1" applyFont="1" applyFill="1" applyBorder="1" applyAlignment="1" applyProtection="1">
      <alignment horizontal="left" vertical="center"/>
      <protection locked="0"/>
    </xf>
    <xf numFmtId="0" fontId="2" fillId="0" borderId="55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4" zoomScale="85" zoomScaleNormal="85" workbookViewId="0">
      <selection activeCell="N21" sqref="N21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5">
      <c r="A2" s="108" t="s">
        <v>1</v>
      </c>
      <c r="B2" s="109"/>
      <c r="C2" s="103" t="str">
        <f>'Stavební rozpočet'!C2</f>
        <v>Žďárský okruh - info stojany  Žďár nad Sázavou</v>
      </c>
      <c r="D2" s="104"/>
      <c r="E2" s="100" t="s">
        <v>2</v>
      </c>
      <c r="F2" s="100" t="str">
        <f>'Stavební rozpočet'!I2</f>
        <v> </v>
      </c>
      <c r="G2" s="109"/>
      <c r="H2" s="100" t="s">
        <v>3</v>
      </c>
      <c r="I2" s="111" t="s">
        <v>4</v>
      </c>
    </row>
    <row r="3" spans="1:9" ht="15" customHeight="1" x14ac:dyDescent="0.25">
      <c r="A3" s="110"/>
      <c r="B3" s="63"/>
      <c r="C3" s="105"/>
      <c r="D3" s="105"/>
      <c r="E3" s="63"/>
      <c r="F3" s="63"/>
      <c r="G3" s="63"/>
      <c r="H3" s="63"/>
      <c r="I3" s="112"/>
    </row>
    <row r="4" spans="1:9" x14ac:dyDescent="0.25">
      <c r="A4" s="101" t="s">
        <v>5</v>
      </c>
      <c r="B4" s="63"/>
      <c r="C4" s="62" t="str">
        <f>'Stavební rozpočet'!C4</f>
        <v>Naučná stezka</v>
      </c>
      <c r="D4" s="63"/>
      <c r="E4" s="62" t="s">
        <v>6</v>
      </c>
      <c r="F4" s="62" t="str">
        <f>'Stavební rozpočet'!I4</f>
        <v> </v>
      </c>
      <c r="G4" s="63"/>
      <c r="H4" s="62" t="s">
        <v>3</v>
      </c>
      <c r="I4" s="112" t="s">
        <v>4</v>
      </c>
    </row>
    <row r="5" spans="1:9" ht="15" customHeight="1" x14ac:dyDescent="0.25">
      <c r="A5" s="110"/>
      <c r="B5" s="63"/>
      <c r="C5" s="63"/>
      <c r="D5" s="63"/>
      <c r="E5" s="63"/>
      <c r="F5" s="63"/>
      <c r="G5" s="63"/>
      <c r="H5" s="63"/>
      <c r="I5" s="112"/>
    </row>
    <row r="6" spans="1:9" x14ac:dyDescent="0.25">
      <c r="A6" s="101" t="s">
        <v>7</v>
      </c>
      <c r="B6" s="63"/>
      <c r="C6" s="62" t="str">
        <f>'Stavební rozpočet'!C6</f>
        <v xml:space="preserve"> </v>
      </c>
      <c r="D6" s="63"/>
      <c r="E6" s="62" t="s">
        <v>8</v>
      </c>
      <c r="F6" s="62" t="str">
        <f>'Stavební rozpočet'!I6</f>
        <v> </v>
      </c>
      <c r="G6" s="63"/>
      <c r="H6" s="62" t="s">
        <v>3</v>
      </c>
      <c r="I6" s="112" t="s">
        <v>4</v>
      </c>
    </row>
    <row r="7" spans="1:9" ht="15" customHeight="1" x14ac:dyDescent="0.25">
      <c r="A7" s="110"/>
      <c r="B7" s="63"/>
      <c r="C7" s="63"/>
      <c r="D7" s="63"/>
      <c r="E7" s="63"/>
      <c r="F7" s="63"/>
      <c r="G7" s="63"/>
      <c r="H7" s="63"/>
      <c r="I7" s="112"/>
    </row>
    <row r="8" spans="1:9" x14ac:dyDescent="0.25">
      <c r="A8" s="101" t="s">
        <v>9</v>
      </c>
      <c r="B8" s="63"/>
      <c r="C8" s="62" t="str">
        <f>'Stavební rozpočet'!G4</f>
        <v xml:space="preserve"> </v>
      </c>
      <c r="D8" s="63"/>
      <c r="E8" s="62" t="s">
        <v>10</v>
      </c>
      <c r="F8" s="62" t="str">
        <f>'Stavební rozpočet'!G6</f>
        <v xml:space="preserve"> </v>
      </c>
      <c r="G8" s="63"/>
      <c r="H8" s="63" t="s">
        <v>11</v>
      </c>
      <c r="I8" s="113">
        <v>11</v>
      </c>
    </row>
    <row r="9" spans="1:9" x14ac:dyDescent="0.25">
      <c r="A9" s="110"/>
      <c r="B9" s="63"/>
      <c r="C9" s="63"/>
      <c r="D9" s="63"/>
      <c r="E9" s="63"/>
      <c r="F9" s="63"/>
      <c r="G9" s="63"/>
      <c r="H9" s="63"/>
      <c r="I9" s="112"/>
    </row>
    <row r="10" spans="1:9" x14ac:dyDescent="0.25">
      <c r="A10" s="101" t="s">
        <v>12</v>
      </c>
      <c r="B10" s="63"/>
      <c r="C10" s="62" t="str">
        <f>'Stavební rozpočet'!C8</f>
        <v xml:space="preserve"> </v>
      </c>
      <c r="D10" s="63"/>
      <c r="E10" s="62" t="s">
        <v>13</v>
      </c>
      <c r="F10" s="62" t="str">
        <f>'Stavební rozpočet'!I8</f>
        <v> </v>
      </c>
      <c r="G10" s="63"/>
      <c r="H10" s="63" t="s">
        <v>14</v>
      </c>
      <c r="I10" s="94">
        <f>'Stavební rozpočet'!G8</f>
        <v>0</v>
      </c>
    </row>
    <row r="11" spans="1:9" x14ac:dyDescent="0.25">
      <c r="A11" s="102"/>
      <c r="B11" s="99"/>
      <c r="C11" s="99"/>
      <c r="D11" s="99"/>
      <c r="E11" s="99"/>
      <c r="F11" s="99"/>
      <c r="G11" s="99"/>
      <c r="H11" s="99"/>
      <c r="I11" s="95"/>
    </row>
    <row r="12" spans="1:9" ht="23.25" x14ac:dyDescent="0.25">
      <c r="A12" s="96" t="s">
        <v>15</v>
      </c>
      <c r="B12" s="96"/>
      <c r="C12" s="96"/>
      <c r="D12" s="96"/>
      <c r="E12" s="96"/>
      <c r="F12" s="96"/>
      <c r="G12" s="96"/>
      <c r="H12" s="96"/>
      <c r="I12" s="96"/>
    </row>
    <row r="13" spans="1:9" ht="26.25" customHeight="1" x14ac:dyDescent="0.25">
      <c r="A13" s="6" t="s">
        <v>16</v>
      </c>
      <c r="B13" s="97" t="s">
        <v>17</v>
      </c>
      <c r="C13" s="98"/>
      <c r="D13" s="7" t="s">
        <v>18</v>
      </c>
      <c r="E13" s="97" t="s">
        <v>19</v>
      </c>
      <c r="F13" s="98"/>
      <c r="G13" s="7" t="s">
        <v>20</v>
      </c>
      <c r="H13" s="97" t="s">
        <v>21</v>
      </c>
      <c r="I13" s="98"/>
    </row>
    <row r="14" spans="1:9" ht="15.75" x14ac:dyDescent="0.25">
      <c r="A14" s="8" t="s">
        <v>22</v>
      </c>
      <c r="B14" s="9" t="s">
        <v>23</v>
      </c>
      <c r="C14" s="10">
        <f>SUM('Stavební rozpočet'!AB12:AB62)</f>
        <v>0</v>
      </c>
      <c r="D14" s="84" t="s">
        <v>24</v>
      </c>
      <c r="E14" s="85"/>
      <c r="F14" s="10">
        <f>VORN!I15</f>
        <v>0</v>
      </c>
      <c r="G14" s="84" t="s">
        <v>25</v>
      </c>
      <c r="H14" s="85"/>
      <c r="I14" s="11">
        <f>VORN!I21</f>
        <v>0</v>
      </c>
    </row>
    <row r="15" spans="1:9" ht="15.75" x14ac:dyDescent="0.25">
      <c r="A15" s="12" t="s">
        <v>4</v>
      </c>
      <c r="B15" s="9" t="s">
        <v>26</v>
      </c>
      <c r="C15" s="10">
        <f>SUM('Stavební rozpočet'!AC12:AC62)</f>
        <v>0</v>
      </c>
      <c r="D15" s="84" t="s">
        <v>27</v>
      </c>
      <c r="E15" s="85"/>
      <c r="F15" s="10">
        <f>VORN!I16</f>
        <v>0</v>
      </c>
      <c r="G15" s="84" t="s">
        <v>28</v>
      </c>
      <c r="H15" s="85"/>
      <c r="I15" s="11">
        <f>VORN!I22</f>
        <v>0</v>
      </c>
    </row>
    <row r="16" spans="1:9" ht="15.75" x14ac:dyDescent="0.25">
      <c r="A16" s="8" t="s">
        <v>29</v>
      </c>
      <c r="B16" s="9" t="s">
        <v>23</v>
      </c>
      <c r="C16" s="10">
        <f>SUM('Stavební rozpočet'!AD12:AD62)</f>
        <v>0</v>
      </c>
      <c r="D16" s="84" t="s">
        <v>30</v>
      </c>
      <c r="E16" s="85"/>
      <c r="F16" s="10">
        <f>VORN!I17</f>
        <v>0</v>
      </c>
      <c r="G16" s="84" t="s">
        <v>31</v>
      </c>
      <c r="H16" s="85"/>
      <c r="I16" s="11">
        <f>VORN!I23</f>
        <v>0</v>
      </c>
    </row>
    <row r="17" spans="1:9" ht="15.75" x14ac:dyDescent="0.25">
      <c r="A17" s="12" t="s">
        <v>4</v>
      </c>
      <c r="B17" s="9" t="s">
        <v>26</v>
      </c>
      <c r="C17" s="10">
        <f>SUM('Stavební rozpočet'!AE12:AE62)</f>
        <v>0</v>
      </c>
      <c r="D17" s="84" t="s">
        <v>4</v>
      </c>
      <c r="E17" s="85"/>
      <c r="F17" s="11" t="s">
        <v>4</v>
      </c>
      <c r="G17" s="84" t="s">
        <v>32</v>
      </c>
      <c r="H17" s="85"/>
      <c r="I17" s="11">
        <f>VORN!I24</f>
        <v>0</v>
      </c>
    </row>
    <row r="18" spans="1:9" ht="15.75" x14ac:dyDescent="0.25">
      <c r="A18" s="8" t="s">
        <v>33</v>
      </c>
      <c r="B18" s="9" t="s">
        <v>23</v>
      </c>
      <c r="C18" s="10">
        <f>SUM('Stavební rozpočet'!AF12:AF62)</f>
        <v>0</v>
      </c>
      <c r="D18" s="84" t="s">
        <v>4</v>
      </c>
      <c r="E18" s="85"/>
      <c r="F18" s="11" t="s">
        <v>4</v>
      </c>
      <c r="G18" s="84" t="s">
        <v>34</v>
      </c>
      <c r="H18" s="85"/>
      <c r="I18" s="11">
        <f>VORN!I25</f>
        <v>0</v>
      </c>
    </row>
    <row r="19" spans="1:9" ht="15.75" x14ac:dyDescent="0.25">
      <c r="A19" s="12" t="s">
        <v>4</v>
      </c>
      <c r="B19" s="9" t="s">
        <v>26</v>
      </c>
      <c r="C19" s="10">
        <f>SUM('Stavební rozpočet'!AG12:AG62)</f>
        <v>0</v>
      </c>
      <c r="D19" s="84" t="s">
        <v>4</v>
      </c>
      <c r="E19" s="85"/>
      <c r="F19" s="11" t="s">
        <v>4</v>
      </c>
      <c r="G19" s="84" t="s">
        <v>35</v>
      </c>
      <c r="H19" s="85"/>
      <c r="I19" s="11">
        <f>VORN!I26</f>
        <v>0</v>
      </c>
    </row>
    <row r="20" spans="1:9" ht="15.75" x14ac:dyDescent="0.25">
      <c r="A20" s="76" t="s">
        <v>36</v>
      </c>
      <c r="B20" s="77"/>
      <c r="C20" s="10">
        <f>SUM('Stavební rozpočet'!AH12:AH62)</f>
        <v>0</v>
      </c>
      <c r="D20" s="84" t="s">
        <v>4</v>
      </c>
      <c r="E20" s="85"/>
      <c r="F20" s="11" t="s">
        <v>4</v>
      </c>
      <c r="G20" s="84" t="s">
        <v>4</v>
      </c>
      <c r="H20" s="85"/>
      <c r="I20" s="11" t="s">
        <v>4</v>
      </c>
    </row>
    <row r="21" spans="1:9" ht="15.75" x14ac:dyDescent="0.25">
      <c r="A21" s="91" t="s">
        <v>37</v>
      </c>
      <c r="B21" s="92"/>
      <c r="C21" s="13">
        <f>SUM('Stavební rozpočet'!Z12:Z62)</f>
        <v>0</v>
      </c>
      <c r="D21" s="86" t="s">
        <v>4</v>
      </c>
      <c r="E21" s="87"/>
      <c r="F21" s="14" t="s">
        <v>4</v>
      </c>
      <c r="G21" s="86" t="s">
        <v>4</v>
      </c>
      <c r="H21" s="87"/>
      <c r="I21" s="14" t="s">
        <v>4</v>
      </c>
    </row>
    <row r="22" spans="1:9" ht="16.5" customHeight="1" x14ac:dyDescent="0.25">
      <c r="A22" s="93" t="s">
        <v>38</v>
      </c>
      <c r="B22" s="89"/>
      <c r="C22" s="15">
        <f>ROUND(SUM(C14:C21),2)</f>
        <v>0</v>
      </c>
      <c r="D22" s="88" t="s">
        <v>39</v>
      </c>
      <c r="E22" s="89"/>
      <c r="F22" s="15">
        <f>SUM(F14:F21)</f>
        <v>0</v>
      </c>
      <c r="G22" s="88" t="s">
        <v>40</v>
      </c>
      <c r="H22" s="89"/>
      <c r="I22" s="15">
        <f>SUM(I14:I21)</f>
        <v>0</v>
      </c>
    </row>
    <row r="23" spans="1:9" ht="15.75" x14ac:dyDescent="0.25">
      <c r="D23" s="76" t="s">
        <v>41</v>
      </c>
      <c r="E23" s="77"/>
      <c r="F23" s="16">
        <v>0</v>
      </c>
      <c r="G23" s="90" t="s">
        <v>42</v>
      </c>
      <c r="H23" s="77"/>
      <c r="I23" s="10">
        <v>0</v>
      </c>
    </row>
    <row r="24" spans="1:9" ht="15.75" x14ac:dyDescent="0.25">
      <c r="G24" s="76" t="s">
        <v>43</v>
      </c>
      <c r="H24" s="77"/>
      <c r="I24" s="13">
        <f>vorn_sum</f>
        <v>0</v>
      </c>
    </row>
    <row r="25" spans="1:9" ht="15.75" x14ac:dyDescent="0.25">
      <c r="G25" s="76" t="s">
        <v>44</v>
      </c>
      <c r="H25" s="77"/>
      <c r="I25" s="15">
        <v>0</v>
      </c>
    </row>
    <row r="27" spans="1:9" ht="15.75" x14ac:dyDescent="0.25">
      <c r="A27" s="78" t="s">
        <v>45</v>
      </c>
      <c r="B27" s="79"/>
      <c r="C27" s="17">
        <f>ROUND(SUM('Stavební rozpočet'!AJ12:AJ62),2)</f>
        <v>0</v>
      </c>
    </row>
    <row r="28" spans="1:9" ht="15.75" x14ac:dyDescent="0.25">
      <c r="A28" s="80" t="s">
        <v>46</v>
      </c>
      <c r="B28" s="81"/>
      <c r="C28" s="18">
        <f>ROUND(SUM('Stavební rozpočet'!AK12:AK62),2)</f>
        <v>0</v>
      </c>
      <c r="D28" s="82" t="s">
        <v>47</v>
      </c>
      <c r="E28" s="79"/>
      <c r="F28" s="17">
        <f>ROUND(C28*(12/100),2)</f>
        <v>0</v>
      </c>
      <c r="G28" s="82" t="s">
        <v>48</v>
      </c>
      <c r="H28" s="79"/>
      <c r="I28" s="17">
        <f>ROUND(SUM(C27:C29),2)</f>
        <v>0</v>
      </c>
    </row>
    <row r="29" spans="1:9" ht="15.75" x14ac:dyDescent="0.25">
      <c r="A29" s="80" t="s">
        <v>49</v>
      </c>
      <c r="B29" s="81"/>
      <c r="C29" s="18">
        <f>ROUND(SUM('Stavební rozpočet'!AL12:AL62),2)</f>
        <v>0</v>
      </c>
      <c r="D29" s="83" t="s">
        <v>50</v>
      </c>
      <c r="E29" s="81"/>
      <c r="F29" s="18">
        <f>ROUND(C29*(21/100),2)</f>
        <v>0</v>
      </c>
      <c r="G29" s="83" t="s">
        <v>51</v>
      </c>
      <c r="H29" s="81"/>
      <c r="I29" s="18">
        <f>ROUND(SUM(F28:F29)+I28,0)</f>
        <v>0</v>
      </c>
    </row>
    <row r="31" spans="1:9" x14ac:dyDescent="0.25">
      <c r="A31" s="73" t="s">
        <v>52</v>
      </c>
      <c r="B31" s="65"/>
      <c r="C31" s="66"/>
      <c r="D31" s="64" t="s">
        <v>53</v>
      </c>
      <c r="E31" s="65"/>
      <c r="F31" s="66"/>
      <c r="G31" s="64" t="s">
        <v>54</v>
      </c>
      <c r="H31" s="65"/>
      <c r="I31" s="66"/>
    </row>
    <row r="32" spans="1:9" x14ac:dyDescent="0.25">
      <c r="A32" s="74" t="s">
        <v>4</v>
      </c>
      <c r="B32" s="68"/>
      <c r="C32" s="69"/>
      <c r="D32" s="67" t="s">
        <v>4</v>
      </c>
      <c r="E32" s="68"/>
      <c r="F32" s="69"/>
      <c r="G32" s="67" t="s">
        <v>4</v>
      </c>
      <c r="H32" s="68"/>
      <c r="I32" s="69"/>
    </row>
    <row r="33" spans="1:9" x14ac:dyDescent="0.25">
      <c r="A33" s="74" t="s">
        <v>4</v>
      </c>
      <c r="B33" s="68"/>
      <c r="C33" s="69"/>
      <c r="D33" s="67" t="s">
        <v>4</v>
      </c>
      <c r="E33" s="68"/>
      <c r="F33" s="69"/>
      <c r="G33" s="67" t="s">
        <v>4</v>
      </c>
      <c r="H33" s="68"/>
      <c r="I33" s="69"/>
    </row>
    <row r="34" spans="1:9" x14ac:dyDescent="0.25">
      <c r="A34" s="74" t="s">
        <v>4</v>
      </c>
      <c r="B34" s="68"/>
      <c r="C34" s="69"/>
      <c r="D34" s="67" t="s">
        <v>4</v>
      </c>
      <c r="E34" s="68"/>
      <c r="F34" s="69"/>
      <c r="G34" s="67" t="s">
        <v>4</v>
      </c>
      <c r="H34" s="68"/>
      <c r="I34" s="69"/>
    </row>
    <row r="35" spans="1:9" x14ac:dyDescent="0.25">
      <c r="A35" s="75" t="s">
        <v>55</v>
      </c>
      <c r="B35" s="71"/>
      <c r="C35" s="72"/>
      <c r="D35" s="70" t="s">
        <v>55</v>
      </c>
      <c r="E35" s="71"/>
      <c r="F35" s="72"/>
      <c r="G35" s="70" t="s">
        <v>55</v>
      </c>
      <c r="H35" s="71"/>
      <c r="I35" s="72"/>
    </row>
    <row r="36" spans="1:9" x14ac:dyDescent="0.25">
      <c r="A36" s="19" t="s">
        <v>56</v>
      </c>
    </row>
    <row r="37" spans="1:9" ht="12.75" customHeight="1" x14ac:dyDescent="0.25">
      <c r="A37" s="62" t="s">
        <v>4</v>
      </c>
      <c r="B37" s="63"/>
      <c r="C37" s="63"/>
      <c r="D37" s="63"/>
      <c r="E37" s="63"/>
      <c r="F37" s="63"/>
      <c r="G37" s="63"/>
      <c r="H37" s="63"/>
      <c r="I37" s="63"/>
    </row>
  </sheetData>
  <sheetProtection password="CF7A" sheet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06" t="s">
        <v>57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5">
      <c r="A2" s="108" t="s">
        <v>1</v>
      </c>
      <c r="B2" s="109"/>
      <c r="C2" s="103" t="str">
        <f>'Stavební rozpočet'!C2</f>
        <v>Žďárský okruh - info stojany  Žďár nad Sázavou</v>
      </c>
      <c r="D2" s="104"/>
      <c r="E2" s="100" t="s">
        <v>2</v>
      </c>
      <c r="F2" s="100" t="str">
        <f>'Stavební rozpočet'!I2</f>
        <v> </v>
      </c>
      <c r="G2" s="109"/>
      <c r="H2" s="100" t="s">
        <v>3</v>
      </c>
      <c r="I2" s="111" t="s">
        <v>4</v>
      </c>
    </row>
    <row r="3" spans="1:9" ht="15" customHeight="1" x14ac:dyDescent="0.25">
      <c r="A3" s="110"/>
      <c r="B3" s="63"/>
      <c r="C3" s="105"/>
      <c r="D3" s="105"/>
      <c r="E3" s="63"/>
      <c r="F3" s="63"/>
      <c r="G3" s="63"/>
      <c r="H3" s="63"/>
      <c r="I3" s="112"/>
    </row>
    <row r="4" spans="1:9" x14ac:dyDescent="0.25">
      <c r="A4" s="101" t="s">
        <v>5</v>
      </c>
      <c r="B4" s="63"/>
      <c r="C4" s="62" t="str">
        <f>'Stavební rozpočet'!C4</f>
        <v>Naučná stezka</v>
      </c>
      <c r="D4" s="63"/>
      <c r="E4" s="62" t="s">
        <v>6</v>
      </c>
      <c r="F4" s="62" t="str">
        <f>'Stavební rozpočet'!I4</f>
        <v> </v>
      </c>
      <c r="G4" s="63"/>
      <c r="H4" s="62" t="s">
        <v>3</v>
      </c>
      <c r="I4" s="112" t="s">
        <v>4</v>
      </c>
    </row>
    <row r="5" spans="1:9" ht="15" customHeight="1" x14ac:dyDescent="0.25">
      <c r="A5" s="110"/>
      <c r="B5" s="63"/>
      <c r="C5" s="63"/>
      <c r="D5" s="63"/>
      <c r="E5" s="63"/>
      <c r="F5" s="63"/>
      <c r="G5" s="63"/>
      <c r="H5" s="63"/>
      <c r="I5" s="112"/>
    </row>
    <row r="6" spans="1:9" x14ac:dyDescent="0.25">
      <c r="A6" s="101" t="s">
        <v>7</v>
      </c>
      <c r="B6" s="63"/>
      <c r="C6" s="62" t="str">
        <f>'Stavební rozpočet'!C6</f>
        <v xml:space="preserve"> </v>
      </c>
      <c r="D6" s="63"/>
      <c r="E6" s="62" t="s">
        <v>8</v>
      </c>
      <c r="F6" s="62" t="str">
        <f>'Stavební rozpočet'!I6</f>
        <v> </v>
      </c>
      <c r="G6" s="63"/>
      <c r="H6" s="62" t="s">
        <v>3</v>
      </c>
      <c r="I6" s="112" t="s">
        <v>4</v>
      </c>
    </row>
    <row r="7" spans="1:9" ht="15" customHeight="1" x14ac:dyDescent="0.25">
      <c r="A7" s="110"/>
      <c r="B7" s="63"/>
      <c r="C7" s="63"/>
      <c r="D7" s="63"/>
      <c r="E7" s="63"/>
      <c r="F7" s="63"/>
      <c r="G7" s="63"/>
      <c r="H7" s="63"/>
      <c r="I7" s="112"/>
    </row>
    <row r="8" spans="1:9" x14ac:dyDescent="0.25">
      <c r="A8" s="101" t="s">
        <v>9</v>
      </c>
      <c r="B8" s="63"/>
      <c r="C8" s="62" t="str">
        <f>'Stavební rozpočet'!G4</f>
        <v xml:space="preserve"> </v>
      </c>
      <c r="D8" s="63"/>
      <c r="E8" s="62" t="s">
        <v>10</v>
      </c>
      <c r="F8" s="62" t="str">
        <f>'Stavební rozpočet'!G6</f>
        <v xml:space="preserve"> </v>
      </c>
      <c r="G8" s="63"/>
      <c r="H8" s="63" t="s">
        <v>11</v>
      </c>
      <c r="I8" s="113">
        <v>11</v>
      </c>
    </row>
    <row r="9" spans="1:9" x14ac:dyDescent="0.25">
      <c r="A9" s="110"/>
      <c r="B9" s="63"/>
      <c r="C9" s="63"/>
      <c r="D9" s="63"/>
      <c r="E9" s="63"/>
      <c r="F9" s="63"/>
      <c r="G9" s="63"/>
      <c r="H9" s="63"/>
      <c r="I9" s="112"/>
    </row>
    <row r="10" spans="1:9" x14ac:dyDescent="0.25">
      <c r="A10" s="101" t="s">
        <v>12</v>
      </c>
      <c r="B10" s="63"/>
      <c r="C10" s="62" t="str">
        <f>'Stavební rozpočet'!C8</f>
        <v xml:space="preserve"> </v>
      </c>
      <c r="D10" s="63"/>
      <c r="E10" s="62" t="s">
        <v>13</v>
      </c>
      <c r="F10" s="62" t="str">
        <f>'Stavební rozpočet'!I8</f>
        <v> </v>
      </c>
      <c r="G10" s="63"/>
      <c r="H10" s="63" t="s">
        <v>14</v>
      </c>
      <c r="I10" s="94">
        <f>'Stavební rozpočet'!G8</f>
        <v>0</v>
      </c>
    </row>
    <row r="11" spans="1:9" x14ac:dyDescent="0.25">
      <c r="A11" s="102"/>
      <c r="B11" s="99"/>
      <c r="C11" s="99"/>
      <c r="D11" s="99"/>
      <c r="E11" s="99"/>
      <c r="F11" s="99"/>
      <c r="G11" s="99"/>
      <c r="H11" s="99"/>
      <c r="I11" s="95"/>
    </row>
    <row r="13" spans="1:9" ht="15.75" x14ac:dyDescent="0.25">
      <c r="A13" s="129" t="s">
        <v>58</v>
      </c>
      <c r="B13" s="129"/>
      <c r="C13" s="129"/>
      <c r="D13" s="129"/>
      <c r="E13" s="129"/>
    </row>
    <row r="14" spans="1:9" x14ac:dyDescent="0.25">
      <c r="A14" s="130" t="s">
        <v>59</v>
      </c>
      <c r="B14" s="131"/>
      <c r="C14" s="131"/>
      <c r="D14" s="131"/>
      <c r="E14" s="132"/>
      <c r="F14" s="20" t="s">
        <v>60</v>
      </c>
      <c r="G14" s="20" t="s">
        <v>61</v>
      </c>
      <c r="H14" s="20" t="s">
        <v>62</v>
      </c>
      <c r="I14" s="20" t="s">
        <v>60</v>
      </c>
    </row>
    <row r="15" spans="1:9" x14ac:dyDescent="0.25">
      <c r="A15" s="114" t="s">
        <v>24</v>
      </c>
      <c r="B15" s="115"/>
      <c r="C15" s="115"/>
      <c r="D15" s="115"/>
      <c r="E15" s="116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 x14ac:dyDescent="0.25">
      <c r="A16" s="114" t="s">
        <v>27</v>
      </c>
      <c r="B16" s="115"/>
      <c r="C16" s="115"/>
      <c r="D16" s="115"/>
      <c r="E16" s="116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 x14ac:dyDescent="0.25">
      <c r="A17" s="117" t="s">
        <v>30</v>
      </c>
      <c r="B17" s="118"/>
      <c r="C17" s="118"/>
      <c r="D17" s="118"/>
      <c r="E17" s="119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 x14ac:dyDescent="0.25">
      <c r="A18" s="120" t="s">
        <v>63</v>
      </c>
      <c r="B18" s="121"/>
      <c r="C18" s="121"/>
      <c r="D18" s="121"/>
      <c r="E18" s="122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 x14ac:dyDescent="0.25">
      <c r="A20" s="130" t="s">
        <v>21</v>
      </c>
      <c r="B20" s="131"/>
      <c r="C20" s="131"/>
      <c r="D20" s="131"/>
      <c r="E20" s="132"/>
      <c r="F20" s="20" t="s">
        <v>60</v>
      </c>
      <c r="G20" s="20" t="s">
        <v>61</v>
      </c>
      <c r="H20" s="20" t="s">
        <v>62</v>
      </c>
      <c r="I20" s="20" t="s">
        <v>60</v>
      </c>
    </row>
    <row r="21" spans="1:9" x14ac:dyDescent="0.25">
      <c r="A21" s="114" t="s">
        <v>25</v>
      </c>
      <c r="B21" s="115"/>
      <c r="C21" s="115"/>
      <c r="D21" s="115"/>
      <c r="E21" s="116"/>
      <c r="F21" s="21">
        <v>0</v>
      </c>
      <c r="G21" s="22" t="s">
        <v>4</v>
      </c>
      <c r="H21" s="22" t="s">
        <v>4</v>
      </c>
      <c r="I21" s="21">
        <f t="shared" ref="I21:I26" si="0">F21</f>
        <v>0</v>
      </c>
    </row>
    <row r="22" spans="1:9" x14ac:dyDescent="0.25">
      <c r="A22" s="114" t="s">
        <v>28</v>
      </c>
      <c r="B22" s="115"/>
      <c r="C22" s="115"/>
      <c r="D22" s="115"/>
      <c r="E22" s="116"/>
      <c r="F22" s="21">
        <v>0</v>
      </c>
      <c r="G22" s="22" t="s">
        <v>4</v>
      </c>
      <c r="H22" s="22" t="s">
        <v>4</v>
      </c>
      <c r="I22" s="21">
        <f t="shared" si="0"/>
        <v>0</v>
      </c>
    </row>
    <row r="23" spans="1:9" x14ac:dyDescent="0.25">
      <c r="A23" s="114" t="s">
        <v>31</v>
      </c>
      <c r="B23" s="115"/>
      <c r="C23" s="115"/>
      <c r="D23" s="115"/>
      <c r="E23" s="116"/>
      <c r="F23" s="21">
        <v>0</v>
      </c>
      <c r="G23" s="22" t="s">
        <v>4</v>
      </c>
      <c r="H23" s="22" t="s">
        <v>4</v>
      </c>
      <c r="I23" s="21">
        <f t="shared" si="0"/>
        <v>0</v>
      </c>
    </row>
    <row r="24" spans="1:9" x14ac:dyDescent="0.25">
      <c r="A24" s="114" t="s">
        <v>32</v>
      </c>
      <c r="B24" s="115"/>
      <c r="C24" s="115"/>
      <c r="D24" s="115"/>
      <c r="E24" s="116"/>
      <c r="F24" s="21">
        <v>0</v>
      </c>
      <c r="G24" s="22" t="s">
        <v>4</v>
      </c>
      <c r="H24" s="22" t="s">
        <v>4</v>
      </c>
      <c r="I24" s="21">
        <f t="shared" si="0"/>
        <v>0</v>
      </c>
    </row>
    <row r="25" spans="1:9" x14ac:dyDescent="0.25">
      <c r="A25" s="114" t="s">
        <v>34</v>
      </c>
      <c r="B25" s="115"/>
      <c r="C25" s="115"/>
      <c r="D25" s="115"/>
      <c r="E25" s="116"/>
      <c r="F25" s="21">
        <v>0</v>
      </c>
      <c r="G25" s="22" t="s">
        <v>4</v>
      </c>
      <c r="H25" s="22" t="s">
        <v>4</v>
      </c>
      <c r="I25" s="21">
        <f t="shared" si="0"/>
        <v>0</v>
      </c>
    </row>
    <row r="26" spans="1:9" x14ac:dyDescent="0.25">
      <c r="A26" s="117" t="s">
        <v>35</v>
      </c>
      <c r="B26" s="118"/>
      <c r="C26" s="118"/>
      <c r="D26" s="118"/>
      <c r="E26" s="119"/>
      <c r="F26" s="23">
        <v>0</v>
      </c>
      <c r="G26" s="24" t="s">
        <v>4</v>
      </c>
      <c r="H26" s="24" t="s">
        <v>4</v>
      </c>
      <c r="I26" s="23">
        <f t="shared" si="0"/>
        <v>0</v>
      </c>
    </row>
    <row r="27" spans="1:9" x14ac:dyDescent="0.25">
      <c r="A27" s="120" t="s">
        <v>64</v>
      </c>
      <c r="B27" s="121"/>
      <c r="C27" s="121"/>
      <c r="D27" s="121"/>
      <c r="E27" s="122"/>
      <c r="F27" s="25" t="s">
        <v>4</v>
      </c>
      <c r="G27" s="26" t="s">
        <v>4</v>
      </c>
      <c r="H27" s="26" t="s">
        <v>4</v>
      </c>
      <c r="I27" s="27">
        <f>SUM(I21:I26)</f>
        <v>0</v>
      </c>
    </row>
    <row r="29" spans="1:9" ht="15.75" x14ac:dyDescent="0.25">
      <c r="A29" s="123" t="s">
        <v>65</v>
      </c>
      <c r="B29" s="124"/>
      <c r="C29" s="124"/>
      <c r="D29" s="124"/>
      <c r="E29" s="125"/>
      <c r="F29" s="126">
        <f>I18+I27</f>
        <v>0</v>
      </c>
      <c r="G29" s="127"/>
      <c r="H29" s="127"/>
      <c r="I29" s="128"/>
    </row>
    <row r="33" spans="1:9" ht="15.75" x14ac:dyDescent="0.25">
      <c r="A33" s="129" t="s">
        <v>66</v>
      </c>
      <c r="B33" s="129"/>
      <c r="C33" s="129"/>
      <c r="D33" s="129"/>
      <c r="E33" s="129"/>
    </row>
    <row r="34" spans="1:9" x14ac:dyDescent="0.25">
      <c r="A34" s="130" t="s">
        <v>67</v>
      </c>
      <c r="B34" s="131"/>
      <c r="C34" s="131"/>
      <c r="D34" s="131"/>
      <c r="E34" s="132"/>
      <c r="F34" s="20" t="s">
        <v>60</v>
      </c>
      <c r="G34" s="20" t="s">
        <v>61</v>
      </c>
      <c r="H34" s="20" t="s">
        <v>62</v>
      </c>
      <c r="I34" s="20" t="s">
        <v>60</v>
      </c>
    </row>
    <row r="35" spans="1:9" x14ac:dyDescent="0.25">
      <c r="A35" s="114" t="s">
        <v>68</v>
      </c>
      <c r="B35" s="115"/>
      <c r="C35" s="115"/>
      <c r="D35" s="115"/>
      <c r="E35" s="116"/>
      <c r="F35" s="21">
        <f>SUM('Stavební rozpočet'!BM12:BM62)</f>
        <v>0</v>
      </c>
      <c r="G35" s="22" t="s">
        <v>4</v>
      </c>
      <c r="H35" s="22" t="s">
        <v>4</v>
      </c>
      <c r="I35" s="21">
        <f t="shared" ref="I35:I44" si="1">F35</f>
        <v>0</v>
      </c>
    </row>
    <row r="36" spans="1:9" x14ac:dyDescent="0.25">
      <c r="A36" s="114" t="s">
        <v>69</v>
      </c>
      <c r="B36" s="115"/>
      <c r="C36" s="115"/>
      <c r="D36" s="115"/>
      <c r="E36" s="116"/>
      <c r="F36" s="21">
        <f>SUM('Stavební rozpočet'!BN12:BN62)</f>
        <v>0</v>
      </c>
      <c r="G36" s="22" t="s">
        <v>4</v>
      </c>
      <c r="H36" s="22" t="s">
        <v>4</v>
      </c>
      <c r="I36" s="21">
        <f t="shared" si="1"/>
        <v>0</v>
      </c>
    </row>
    <row r="37" spans="1:9" x14ac:dyDescent="0.25">
      <c r="A37" s="114" t="s">
        <v>25</v>
      </c>
      <c r="B37" s="115"/>
      <c r="C37" s="115"/>
      <c r="D37" s="115"/>
      <c r="E37" s="116"/>
      <c r="F37" s="21">
        <f>SUM('Stavební rozpočet'!BO12:BO62)</f>
        <v>0</v>
      </c>
      <c r="G37" s="22" t="s">
        <v>4</v>
      </c>
      <c r="H37" s="22" t="s">
        <v>4</v>
      </c>
      <c r="I37" s="21">
        <f t="shared" si="1"/>
        <v>0</v>
      </c>
    </row>
    <row r="38" spans="1:9" x14ac:dyDescent="0.25">
      <c r="A38" s="114" t="s">
        <v>70</v>
      </c>
      <c r="B38" s="115"/>
      <c r="C38" s="115"/>
      <c r="D38" s="115"/>
      <c r="E38" s="116"/>
      <c r="F38" s="21">
        <f>SUM('Stavební rozpočet'!BP12:BP62)</f>
        <v>0</v>
      </c>
      <c r="G38" s="22" t="s">
        <v>4</v>
      </c>
      <c r="H38" s="22" t="s">
        <v>4</v>
      </c>
      <c r="I38" s="21">
        <f t="shared" si="1"/>
        <v>0</v>
      </c>
    </row>
    <row r="39" spans="1:9" x14ac:dyDescent="0.25">
      <c r="A39" s="114" t="s">
        <v>71</v>
      </c>
      <c r="B39" s="115"/>
      <c r="C39" s="115"/>
      <c r="D39" s="115"/>
      <c r="E39" s="116"/>
      <c r="F39" s="21">
        <f>SUM('Stavební rozpočet'!BQ12:BQ62)</f>
        <v>0</v>
      </c>
      <c r="G39" s="22" t="s">
        <v>4</v>
      </c>
      <c r="H39" s="22" t="s">
        <v>4</v>
      </c>
      <c r="I39" s="21">
        <f t="shared" si="1"/>
        <v>0</v>
      </c>
    </row>
    <row r="40" spans="1:9" x14ac:dyDescent="0.25">
      <c r="A40" s="114" t="s">
        <v>31</v>
      </c>
      <c r="B40" s="115"/>
      <c r="C40" s="115"/>
      <c r="D40" s="115"/>
      <c r="E40" s="116"/>
      <c r="F40" s="21">
        <f>SUM('Stavební rozpočet'!BR12:BR62)</f>
        <v>0</v>
      </c>
      <c r="G40" s="22" t="s">
        <v>4</v>
      </c>
      <c r="H40" s="22" t="s">
        <v>4</v>
      </c>
      <c r="I40" s="21">
        <f t="shared" si="1"/>
        <v>0</v>
      </c>
    </row>
    <row r="41" spans="1:9" x14ac:dyDescent="0.25">
      <c r="A41" s="114" t="s">
        <v>32</v>
      </c>
      <c r="B41" s="115"/>
      <c r="C41" s="115"/>
      <c r="D41" s="115"/>
      <c r="E41" s="116"/>
      <c r="F41" s="21">
        <f>SUM('Stavební rozpočet'!BS12:BS62)</f>
        <v>0</v>
      </c>
      <c r="G41" s="22" t="s">
        <v>4</v>
      </c>
      <c r="H41" s="22" t="s">
        <v>4</v>
      </c>
      <c r="I41" s="21">
        <f t="shared" si="1"/>
        <v>0</v>
      </c>
    </row>
    <row r="42" spans="1:9" x14ac:dyDescent="0.25">
      <c r="A42" s="114" t="s">
        <v>72</v>
      </c>
      <c r="B42" s="115"/>
      <c r="C42" s="115"/>
      <c r="D42" s="115"/>
      <c r="E42" s="116"/>
      <c r="F42" s="21">
        <f>SUM('Stavební rozpočet'!BT12:BT62)</f>
        <v>0</v>
      </c>
      <c r="G42" s="22" t="s">
        <v>4</v>
      </c>
      <c r="H42" s="22" t="s">
        <v>4</v>
      </c>
      <c r="I42" s="21">
        <f t="shared" si="1"/>
        <v>0</v>
      </c>
    </row>
    <row r="43" spans="1:9" x14ac:dyDescent="0.25">
      <c r="A43" s="114" t="s">
        <v>73</v>
      </c>
      <c r="B43" s="115"/>
      <c r="C43" s="115"/>
      <c r="D43" s="115"/>
      <c r="E43" s="116"/>
      <c r="F43" s="21">
        <f>SUM('Stavební rozpočet'!BU12:BU62)</f>
        <v>0</v>
      </c>
      <c r="G43" s="22" t="s">
        <v>4</v>
      </c>
      <c r="H43" s="22" t="s">
        <v>4</v>
      </c>
      <c r="I43" s="21">
        <f t="shared" si="1"/>
        <v>0</v>
      </c>
    </row>
    <row r="44" spans="1:9" x14ac:dyDescent="0.25">
      <c r="A44" s="117" t="s">
        <v>74</v>
      </c>
      <c r="B44" s="118"/>
      <c r="C44" s="118"/>
      <c r="D44" s="118"/>
      <c r="E44" s="119"/>
      <c r="F44" s="23">
        <f>SUM('Stavební rozpočet'!BV12:BV62)</f>
        <v>0</v>
      </c>
      <c r="G44" s="24" t="s">
        <v>4</v>
      </c>
      <c r="H44" s="24" t="s">
        <v>4</v>
      </c>
      <c r="I44" s="23">
        <f t="shared" si="1"/>
        <v>0</v>
      </c>
    </row>
    <row r="45" spans="1:9" x14ac:dyDescent="0.25">
      <c r="A45" s="120" t="s">
        <v>75</v>
      </c>
      <c r="B45" s="121"/>
      <c r="C45" s="121"/>
      <c r="D45" s="121"/>
      <c r="E45" s="122"/>
      <c r="F45" s="25" t="s">
        <v>4</v>
      </c>
      <c r="G45" s="26" t="s">
        <v>4</v>
      </c>
      <c r="H45" s="26" t="s">
        <v>4</v>
      </c>
      <c r="I45" s="27">
        <f>SUM(I35:I44)</f>
        <v>0</v>
      </c>
    </row>
  </sheetData>
  <sheetProtection password="CF7A" sheet="1"/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34"/>
  <sheetViews>
    <sheetView tabSelected="1" workbookViewId="0">
      <pane ySplit="11" topLeftCell="A12" activePane="bottomLeft" state="frozen"/>
      <selection pane="bottomLeft" activeCell="G32" sqref="G32"/>
    </sheetView>
  </sheetViews>
  <sheetFormatPr defaultColWidth="12.140625" defaultRowHeight="15" customHeight="1" x14ac:dyDescent="0.25"/>
  <cols>
    <col min="1" max="1" width="3.140625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8" width="15.71093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07" t="s">
        <v>76</v>
      </c>
      <c r="B1" s="107"/>
      <c r="C1" s="107"/>
      <c r="D1" s="107"/>
      <c r="E1" s="107"/>
      <c r="F1" s="107"/>
      <c r="G1" s="107"/>
      <c r="H1" s="107"/>
      <c r="I1" s="107"/>
      <c r="J1" s="107"/>
      <c r="AS1" s="28">
        <f>SUM(AJ1:AJ2)</f>
        <v>0</v>
      </c>
      <c r="AT1" s="28">
        <f>SUM(AK1:AK2)</f>
        <v>0</v>
      </c>
      <c r="AU1" s="28">
        <f>SUM(AL1:AL2)</f>
        <v>0</v>
      </c>
    </row>
    <row r="2" spans="1:76" x14ac:dyDescent="0.25">
      <c r="A2" s="108" t="s">
        <v>1</v>
      </c>
      <c r="B2" s="109"/>
      <c r="C2" s="103" t="s">
        <v>77</v>
      </c>
      <c r="D2" s="104"/>
      <c r="E2" s="109" t="s">
        <v>78</v>
      </c>
      <c r="F2" s="109"/>
      <c r="G2" s="151" t="s">
        <v>79</v>
      </c>
      <c r="H2" s="100" t="s">
        <v>2</v>
      </c>
      <c r="I2" s="109" t="s">
        <v>80</v>
      </c>
      <c r="J2" s="111"/>
    </row>
    <row r="3" spans="1:76" x14ac:dyDescent="0.25">
      <c r="A3" s="110"/>
      <c r="B3" s="63"/>
      <c r="C3" s="105"/>
      <c r="D3" s="105"/>
      <c r="E3" s="63"/>
      <c r="F3" s="63"/>
      <c r="G3" s="144"/>
      <c r="H3" s="63"/>
      <c r="I3" s="63"/>
      <c r="J3" s="112"/>
    </row>
    <row r="4" spans="1:76" x14ac:dyDescent="0.25">
      <c r="A4" s="101" t="s">
        <v>5</v>
      </c>
      <c r="B4" s="63"/>
      <c r="C4" s="62" t="s">
        <v>81</v>
      </c>
      <c r="D4" s="63"/>
      <c r="E4" s="63" t="s">
        <v>9</v>
      </c>
      <c r="F4" s="63"/>
      <c r="G4" s="144" t="s">
        <v>79</v>
      </c>
      <c r="H4" s="62" t="s">
        <v>6</v>
      </c>
      <c r="I4" s="63" t="s">
        <v>80</v>
      </c>
      <c r="J4" s="112"/>
    </row>
    <row r="5" spans="1:76" x14ac:dyDescent="0.25">
      <c r="A5" s="110"/>
      <c r="B5" s="63"/>
      <c r="C5" s="63"/>
      <c r="D5" s="63"/>
      <c r="E5" s="63"/>
      <c r="F5" s="63"/>
      <c r="G5" s="144"/>
      <c r="H5" s="63"/>
      <c r="I5" s="63"/>
      <c r="J5" s="112"/>
    </row>
    <row r="6" spans="1:76" x14ac:dyDescent="0.25">
      <c r="A6" s="101" t="s">
        <v>7</v>
      </c>
      <c r="B6" s="63"/>
      <c r="C6" s="62" t="s">
        <v>79</v>
      </c>
      <c r="D6" s="63"/>
      <c r="E6" s="63" t="s">
        <v>10</v>
      </c>
      <c r="F6" s="63"/>
      <c r="G6" s="144" t="s">
        <v>79</v>
      </c>
      <c r="H6" s="62" t="s">
        <v>8</v>
      </c>
      <c r="I6" s="144" t="s">
        <v>80</v>
      </c>
      <c r="J6" s="145"/>
    </row>
    <row r="7" spans="1:76" x14ac:dyDescent="0.25">
      <c r="A7" s="110"/>
      <c r="B7" s="63"/>
      <c r="C7" s="63"/>
      <c r="D7" s="63"/>
      <c r="E7" s="63"/>
      <c r="F7" s="63"/>
      <c r="G7" s="144"/>
      <c r="H7" s="63"/>
      <c r="I7" s="144"/>
      <c r="J7" s="145"/>
    </row>
    <row r="8" spans="1:76" x14ac:dyDescent="0.25">
      <c r="A8" s="101" t="s">
        <v>12</v>
      </c>
      <c r="B8" s="63"/>
      <c r="C8" s="62" t="s">
        <v>79</v>
      </c>
      <c r="D8" s="63"/>
      <c r="E8" s="63" t="s">
        <v>82</v>
      </c>
      <c r="F8" s="63"/>
      <c r="G8" s="144"/>
      <c r="H8" s="62" t="s">
        <v>13</v>
      </c>
      <c r="I8" s="144" t="s">
        <v>80</v>
      </c>
      <c r="J8" s="145"/>
    </row>
    <row r="9" spans="1:76" x14ac:dyDescent="0.25">
      <c r="A9" s="153"/>
      <c r="B9" s="150"/>
      <c r="C9" s="150"/>
      <c r="D9" s="150"/>
      <c r="E9" s="150"/>
      <c r="F9" s="150"/>
      <c r="G9" s="152"/>
      <c r="H9" s="150"/>
      <c r="I9" s="146"/>
      <c r="J9" s="147"/>
    </row>
    <row r="10" spans="1:76" x14ac:dyDescent="0.25">
      <c r="A10" s="29" t="s">
        <v>83</v>
      </c>
      <c r="B10" s="30" t="s">
        <v>84</v>
      </c>
      <c r="C10" s="148" t="s">
        <v>85</v>
      </c>
      <c r="D10" s="149"/>
      <c r="E10" s="30" t="s">
        <v>86</v>
      </c>
      <c r="F10" s="31" t="s">
        <v>87</v>
      </c>
      <c r="G10" s="32" t="s">
        <v>88</v>
      </c>
      <c r="H10" s="33" t="s">
        <v>89</v>
      </c>
      <c r="J10" s="34"/>
      <c r="BK10" s="35" t="s">
        <v>90</v>
      </c>
      <c r="BL10" s="36" t="s">
        <v>91</v>
      </c>
      <c r="BW10" s="36" t="s">
        <v>92</v>
      </c>
    </row>
    <row r="11" spans="1:76" x14ac:dyDescent="0.25">
      <c r="A11" s="37" t="s">
        <v>79</v>
      </c>
      <c r="B11" s="38" t="s">
        <v>79</v>
      </c>
      <c r="C11" s="140" t="s">
        <v>93</v>
      </c>
      <c r="D11" s="141"/>
      <c r="E11" s="38" t="s">
        <v>79</v>
      </c>
      <c r="F11" s="38" t="s">
        <v>79</v>
      </c>
      <c r="G11" s="39" t="s">
        <v>94</v>
      </c>
      <c r="H11" s="40" t="s">
        <v>95</v>
      </c>
      <c r="J11" s="41"/>
      <c r="Z11" s="35" t="s">
        <v>96</v>
      </c>
      <c r="AA11" s="35" t="s">
        <v>97</v>
      </c>
      <c r="AB11" s="35" t="s">
        <v>98</v>
      </c>
      <c r="AC11" s="35" t="s">
        <v>99</v>
      </c>
      <c r="AD11" s="35" t="s">
        <v>100</v>
      </c>
      <c r="AE11" s="35" t="s">
        <v>101</v>
      </c>
      <c r="AF11" s="35" t="s">
        <v>102</v>
      </c>
      <c r="AG11" s="35" t="s">
        <v>103</v>
      </c>
      <c r="AH11" s="35" t="s">
        <v>104</v>
      </c>
      <c r="BH11" s="35" t="s">
        <v>105</v>
      </c>
      <c r="BI11" s="35" t="s">
        <v>106</v>
      </c>
      <c r="BJ11" s="35" t="s">
        <v>107</v>
      </c>
    </row>
    <row r="12" spans="1:76" x14ac:dyDescent="0.25">
      <c r="A12" s="42" t="s">
        <v>4</v>
      </c>
      <c r="B12" s="43" t="s">
        <v>4</v>
      </c>
      <c r="C12" s="142" t="s">
        <v>108</v>
      </c>
      <c r="D12" s="143"/>
      <c r="E12" s="44" t="s">
        <v>79</v>
      </c>
      <c r="F12" s="44" t="s">
        <v>79</v>
      </c>
      <c r="G12" s="45" t="s">
        <v>79</v>
      </c>
      <c r="H12" s="46">
        <f>H13+H26</f>
        <v>0</v>
      </c>
      <c r="J12" s="41"/>
    </row>
    <row r="13" spans="1:76" x14ac:dyDescent="0.25">
      <c r="A13" s="47" t="s">
        <v>4</v>
      </c>
      <c r="B13" s="48" t="s">
        <v>109</v>
      </c>
      <c r="C13" s="134" t="s">
        <v>110</v>
      </c>
      <c r="D13" s="135"/>
      <c r="E13" s="49" t="s">
        <v>79</v>
      </c>
      <c r="F13" s="49" t="s">
        <v>79</v>
      </c>
      <c r="G13" s="50" t="s">
        <v>79</v>
      </c>
      <c r="H13" s="28">
        <f>SUM(H14:H24)</f>
        <v>0</v>
      </c>
      <c r="J13" s="41"/>
      <c r="AI13" s="35" t="s">
        <v>4</v>
      </c>
      <c r="AS13" s="28">
        <f>SUM(AJ14:AJ24)</f>
        <v>0</v>
      </c>
      <c r="AT13" s="28">
        <f>SUM(AK14:AK24)</f>
        <v>0</v>
      </c>
      <c r="AU13" s="28">
        <f>SUM(AL14:AL24)</f>
        <v>0</v>
      </c>
    </row>
    <row r="14" spans="1:76" ht="25.5" x14ac:dyDescent="0.25">
      <c r="A14" s="1" t="s">
        <v>111</v>
      </c>
      <c r="B14" s="2" t="s">
        <v>112</v>
      </c>
      <c r="C14" s="62" t="s">
        <v>113</v>
      </c>
      <c r="D14" s="63"/>
      <c r="E14" s="2" t="s">
        <v>114</v>
      </c>
      <c r="F14" s="51">
        <v>13</v>
      </c>
      <c r="G14" s="52"/>
      <c r="H14" s="51">
        <f>ROUND(F14*G14,2)</f>
        <v>0</v>
      </c>
      <c r="J14" s="41"/>
      <c r="Z14" s="51">
        <f>ROUND(IF(AQ14="5",BJ14,0),2)</f>
        <v>0</v>
      </c>
      <c r="AB14" s="51">
        <f>ROUND(IF(AQ14="1",BH14,0),2)</f>
        <v>0</v>
      </c>
      <c r="AC14" s="51">
        <f>ROUND(IF(AQ14="1",BI14,0),2)</f>
        <v>0</v>
      </c>
      <c r="AD14" s="51">
        <f>ROUND(IF(AQ14="7",BH14,0),2)</f>
        <v>0</v>
      </c>
      <c r="AE14" s="51">
        <f>ROUND(IF(AQ14="7",BI14,0),2)</f>
        <v>0</v>
      </c>
      <c r="AF14" s="51">
        <f>ROUND(IF(AQ14="2",BH14,0),2)</f>
        <v>0</v>
      </c>
      <c r="AG14" s="51">
        <f>ROUND(IF(AQ14="2",BI14,0),2)</f>
        <v>0</v>
      </c>
      <c r="AH14" s="51">
        <f>ROUND(IF(AQ14="0",BJ14,0),2)</f>
        <v>0</v>
      </c>
      <c r="AI14" s="35" t="s">
        <v>4</v>
      </c>
      <c r="AJ14" s="51">
        <f>IF(AN14=0,H14,0)</f>
        <v>0</v>
      </c>
      <c r="AK14" s="51">
        <f>IF(AN14=12,H14,0)</f>
        <v>0</v>
      </c>
      <c r="AL14" s="51">
        <f>IF(AN14=21,H14,0)</f>
        <v>0</v>
      </c>
      <c r="AN14" s="51">
        <v>21</v>
      </c>
      <c r="AO14" s="51">
        <f>G14*0.102742724</f>
        <v>0</v>
      </c>
      <c r="AP14" s="51">
        <f>G14*(1-0.102742724)</f>
        <v>0</v>
      </c>
      <c r="AQ14" s="53" t="s">
        <v>115</v>
      </c>
      <c r="AV14" s="51">
        <f>ROUND(AW14+AX14,2)</f>
        <v>0</v>
      </c>
      <c r="AW14" s="51">
        <f>ROUND(F14*AO14,2)</f>
        <v>0</v>
      </c>
      <c r="AX14" s="51">
        <f>ROUND(F14*AP14,2)</f>
        <v>0</v>
      </c>
      <c r="AY14" s="53" t="s">
        <v>116</v>
      </c>
      <c r="AZ14" s="53" t="s">
        <v>117</v>
      </c>
      <c r="BA14" s="35" t="s">
        <v>118</v>
      </c>
      <c r="BC14" s="51">
        <f>AW14+AX14</f>
        <v>0</v>
      </c>
      <c r="BD14" s="51">
        <f>G14/(100-BE14)*100</f>
        <v>0</v>
      </c>
      <c r="BE14" s="51">
        <v>0</v>
      </c>
      <c r="BF14" s="51">
        <f>14</f>
        <v>14</v>
      </c>
      <c r="BH14" s="51">
        <f>F14*AO14</f>
        <v>0</v>
      </c>
      <c r="BI14" s="51">
        <f>F14*AP14</f>
        <v>0</v>
      </c>
      <c r="BJ14" s="51">
        <f>F14*G14</f>
        <v>0</v>
      </c>
      <c r="BK14" s="53" t="s">
        <v>119</v>
      </c>
      <c r="BL14" s="51">
        <v>767</v>
      </c>
      <c r="BW14" s="51">
        <v>21</v>
      </c>
      <c r="BX14" s="3" t="s">
        <v>113</v>
      </c>
    </row>
    <row r="15" spans="1:76" ht="13.5" customHeight="1" x14ac:dyDescent="0.25">
      <c r="A15" s="54"/>
      <c r="B15" s="55" t="s">
        <v>120</v>
      </c>
      <c r="C15" s="136" t="s">
        <v>121</v>
      </c>
      <c r="D15" s="137"/>
      <c r="E15" s="137"/>
      <c r="F15" s="137"/>
      <c r="G15" s="138"/>
      <c r="H15" s="137"/>
      <c r="I15" s="137"/>
      <c r="J15" s="139"/>
    </row>
    <row r="16" spans="1:76" x14ac:dyDescent="0.25">
      <c r="A16" s="1" t="s">
        <v>122</v>
      </c>
      <c r="B16" s="2" t="s">
        <v>123</v>
      </c>
      <c r="C16" s="62" t="s">
        <v>124</v>
      </c>
      <c r="D16" s="63"/>
      <c r="E16" s="2" t="s">
        <v>114</v>
      </c>
      <c r="F16" s="51">
        <v>9</v>
      </c>
      <c r="G16" s="52"/>
      <c r="H16" s="51">
        <f>ROUND(F16*G16,2)</f>
        <v>0</v>
      </c>
      <c r="J16" s="41"/>
      <c r="Z16" s="51">
        <f>ROUND(IF(AQ16="5",BJ16,0),2)</f>
        <v>0</v>
      </c>
      <c r="AB16" s="51">
        <f>ROUND(IF(AQ16="1",BH16,0),2)</f>
        <v>0</v>
      </c>
      <c r="AC16" s="51">
        <f>ROUND(IF(AQ16="1",BI16,0),2)</f>
        <v>0</v>
      </c>
      <c r="AD16" s="51">
        <f>ROUND(IF(AQ16="7",BH16,0),2)</f>
        <v>0</v>
      </c>
      <c r="AE16" s="51">
        <f>ROUND(IF(AQ16="7",BI16,0),2)</f>
        <v>0</v>
      </c>
      <c r="AF16" s="51">
        <f>ROUND(IF(AQ16="2",BH16,0),2)</f>
        <v>0</v>
      </c>
      <c r="AG16" s="51">
        <f>ROUND(IF(AQ16="2",BI16,0),2)</f>
        <v>0</v>
      </c>
      <c r="AH16" s="51">
        <f>ROUND(IF(AQ16="0",BJ16,0),2)</f>
        <v>0</v>
      </c>
      <c r="AI16" s="35" t="s">
        <v>4</v>
      </c>
      <c r="AJ16" s="51">
        <f>IF(AN16=0,H16,0)</f>
        <v>0</v>
      </c>
      <c r="AK16" s="51">
        <f>IF(AN16=12,H16,0)</f>
        <v>0</v>
      </c>
      <c r="AL16" s="51">
        <f>IF(AN16=21,H16,0)</f>
        <v>0</v>
      </c>
      <c r="AN16" s="51">
        <v>21</v>
      </c>
      <c r="AO16" s="51">
        <f>G16*0.102742857</f>
        <v>0</v>
      </c>
      <c r="AP16" s="51">
        <f>G16*(1-0.102742857)</f>
        <v>0</v>
      </c>
      <c r="AQ16" s="53" t="s">
        <v>115</v>
      </c>
      <c r="AV16" s="51">
        <f>ROUND(AW16+AX16,2)</f>
        <v>0</v>
      </c>
      <c r="AW16" s="51">
        <f>ROUND(F16*AO16,2)</f>
        <v>0</v>
      </c>
      <c r="AX16" s="51">
        <f>ROUND(F16*AP16,2)</f>
        <v>0</v>
      </c>
      <c r="AY16" s="53" t="s">
        <v>116</v>
      </c>
      <c r="AZ16" s="53" t="s">
        <v>117</v>
      </c>
      <c r="BA16" s="35" t="s">
        <v>118</v>
      </c>
      <c r="BC16" s="51">
        <f>AW16+AX16</f>
        <v>0</v>
      </c>
      <c r="BD16" s="51">
        <f>G16/(100-BE16)*100</f>
        <v>0</v>
      </c>
      <c r="BE16" s="51">
        <v>0</v>
      </c>
      <c r="BF16" s="51">
        <f>16</f>
        <v>16</v>
      </c>
      <c r="BH16" s="51">
        <f>F16*AO16</f>
        <v>0</v>
      </c>
      <c r="BI16" s="51">
        <f>F16*AP16</f>
        <v>0</v>
      </c>
      <c r="BJ16" s="51">
        <f>F16*G16</f>
        <v>0</v>
      </c>
      <c r="BK16" s="53" t="s">
        <v>119</v>
      </c>
      <c r="BL16" s="51">
        <v>767</v>
      </c>
      <c r="BW16" s="51">
        <v>21</v>
      </c>
      <c r="BX16" s="3" t="s">
        <v>124</v>
      </c>
    </row>
    <row r="17" spans="1:76" ht="13.5" customHeight="1" x14ac:dyDescent="0.25">
      <c r="A17" s="54"/>
      <c r="B17" s="55" t="s">
        <v>120</v>
      </c>
      <c r="C17" s="136" t="s">
        <v>125</v>
      </c>
      <c r="D17" s="137"/>
      <c r="E17" s="137"/>
      <c r="F17" s="137"/>
      <c r="G17" s="138"/>
      <c r="H17" s="137"/>
      <c r="I17" s="137"/>
      <c r="J17" s="139"/>
    </row>
    <row r="18" spans="1:76" x14ac:dyDescent="0.25">
      <c r="A18" s="1" t="s">
        <v>126</v>
      </c>
      <c r="B18" s="2" t="s">
        <v>127</v>
      </c>
      <c r="C18" s="62" t="s">
        <v>128</v>
      </c>
      <c r="D18" s="63"/>
      <c r="E18" s="2" t="s">
        <v>114</v>
      </c>
      <c r="F18" s="51">
        <v>4</v>
      </c>
      <c r="G18" s="52"/>
      <c r="H18" s="51">
        <f>ROUND(F18*G18,2)</f>
        <v>0</v>
      </c>
      <c r="J18" s="41"/>
      <c r="Z18" s="51">
        <f>ROUND(IF(AQ18="5",BJ18,0),2)</f>
        <v>0</v>
      </c>
      <c r="AB18" s="51">
        <f>ROUND(IF(AQ18="1",BH18,0),2)</f>
        <v>0</v>
      </c>
      <c r="AC18" s="51">
        <f>ROUND(IF(AQ18="1",BI18,0),2)</f>
        <v>0</v>
      </c>
      <c r="AD18" s="51">
        <f>ROUND(IF(AQ18="7",BH18,0),2)</f>
        <v>0</v>
      </c>
      <c r="AE18" s="51">
        <f>ROUND(IF(AQ18="7",BI18,0),2)</f>
        <v>0</v>
      </c>
      <c r="AF18" s="51">
        <f>ROUND(IF(AQ18="2",BH18,0),2)</f>
        <v>0</v>
      </c>
      <c r="AG18" s="51">
        <f>ROUND(IF(AQ18="2",BI18,0),2)</f>
        <v>0</v>
      </c>
      <c r="AH18" s="51">
        <f>ROUND(IF(AQ18="0",BJ18,0),2)</f>
        <v>0</v>
      </c>
      <c r="AI18" s="35" t="s">
        <v>4</v>
      </c>
      <c r="AJ18" s="51">
        <f>IF(AN18=0,H18,0)</f>
        <v>0</v>
      </c>
      <c r="AK18" s="51">
        <f>IF(AN18=12,H18,0)</f>
        <v>0</v>
      </c>
      <c r="AL18" s="51">
        <f>IF(AN18=21,H18,0)</f>
        <v>0</v>
      </c>
      <c r="AN18" s="51">
        <v>21</v>
      </c>
      <c r="AO18" s="51">
        <f>G18*0.102742466</f>
        <v>0</v>
      </c>
      <c r="AP18" s="51">
        <f>G18*(1-0.102742466)</f>
        <v>0</v>
      </c>
      <c r="AQ18" s="53" t="s">
        <v>115</v>
      </c>
      <c r="AV18" s="51">
        <f>ROUND(AW18+AX18,2)</f>
        <v>0</v>
      </c>
      <c r="AW18" s="51">
        <f>ROUND(F18*AO18,2)</f>
        <v>0</v>
      </c>
      <c r="AX18" s="51">
        <f>ROUND(F18*AP18,2)</f>
        <v>0</v>
      </c>
      <c r="AY18" s="53" t="s">
        <v>116</v>
      </c>
      <c r="AZ18" s="53" t="s">
        <v>117</v>
      </c>
      <c r="BA18" s="35" t="s">
        <v>118</v>
      </c>
      <c r="BC18" s="51">
        <f>AW18+AX18</f>
        <v>0</v>
      </c>
      <c r="BD18" s="51">
        <f>G18/(100-BE18)*100</f>
        <v>0</v>
      </c>
      <c r="BE18" s="51">
        <v>0</v>
      </c>
      <c r="BF18" s="51">
        <f>18</f>
        <v>18</v>
      </c>
      <c r="BH18" s="51">
        <f>F18*AO18</f>
        <v>0</v>
      </c>
      <c r="BI18" s="51">
        <f>F18*AP18</f>
        <v>0</v>
      </c>
      <c r="BJ18" s="51">
        <f>F18*G18</f>
        <v>0</v>
      </c>
      <c r="BK18" s="53" t="s">
        <v>119</v>
      </c>
      <c r="BL18" s="51">
        <v>767</v>
      </c>
      <c r="BW18" s="51">
        <v>21</v>
      </c>
      <c r="BX18" s="3" t="s">
        <v>128</v>
      </c>
    </row>
    <row r="19" spans="1:76" ht="13.5" customHeight="1" x14ac:dyDescent="0.25">
      <c r="A19" s="54"/>
      <c r="B19" s="55" t="s">
        <v>120</v>
      </c>
      <c r="C19" s="136" t="s">
        <v>129</v>
      </c>
      <c r="D19" s="137"/>
      <c r="E19" s="137"/>
      <c r="F19" s="137"/>
      <c r="G19" s="138"/>
      <c r="H19" s="137"/>
      <c r="I19" s="137"/>
      <c r="J19" s="139"/>
    </row>
    <row r="20" spans="1:76" x14ac:dyDescent="0.25">
      <c r="A20" s="1" t="s">
        <v>130</v>
      </c>
      <c r="B20" s="2" t="s">
        <v>131</v>
      </c>
      <c r="C20" s="62" t="s">
        <v>132</v>
      </c>
      <c r="D20" s="63"/>
      <c r="E20" s="2" t="s">
        <v>114</v>
      </c>
      <c r="F20" s="51">
        <v>1</v>
      </c>
      <c r="G20" s="52"/>
      <c r="H20" s="51">
        <f>ROUND(F20*G20,2)</f>
        <v>0</v>
      </c>
      <c r="J20" s="41"/>
      <c r="Z20" s="51">
        <f>ROUND(IF(AQ20="5",BJ20,0),2)</f>
        <v>0</v>
      </c>
      <c r="AB20" s="51">
        <f>ROUND(IF(AQ20="1",BH20,0),2)</f>
        <v>0</v>
      </c>
      <c r="AC20" s="51">
        <f>ROUND(IF(AQ20="1",BI20,0),2)</f>
        <v>0</v>
      </c>
      <c r="AD20" s="51">
        <f>ROUND(IF(AQ20="7",BH20,0),2)</f>
        <v>0</v>
      </c>
      <c r="AE20" s="51">
        <f>ROUND(IF(AQ20="7",BI20,0),2)</f>
        <v>0</v>
      </c>
      <c r="AF20" s="51">
        <f>ROUND(IF(AQ20="2",BH20,0),2)</f>
        <v>0</v>
      </c>
      <c r="AG20" s="51">
        <f>ROUND(IF(AQ20="2",BI20,0),2)</f>
        <v>0</v>
      </c>
      <c r="AH20" s="51">
        <f>ROUND(IF(AQ20="0",BJ20,0),2)</f>
        <v>0</v>
      </c>
      <c r="AI20" s="35" t="s">
        <v>4</v>
      </c>
      <c r="AJ20" s="51">
        <f>IF(AN20=0,H20,0)</f>
        <v>0</v>
      </c>
      <c r="AK20" s="51">
        <f>IF(AN20=12,H20,0)</f>
        <v>0</v>
      </c>
      <c r="AL20" s="51">
        <f>IF(AN20=21,H20,0)</f>
        <v>0</v>
      </c>
      <c r="AN20" s="51">
        <v>21</v>
      </c>
      <c r="AO20" s="51">
        <f>G20*0.102742484</f>
        <v>0</v>
      </c>
      <c r="AP20" s="51">
        <f>G20*(1-0.102742484)</f>
        <v>0</v>
      </c>
      <c r="AQ20" s="53" t="s">
        <v>115</v>
      </c>
      <c r="AV20" s="51">
        <f>ROUND(AW20+AX20,2)</f>
        <v>0</v>
      </c>
      <c r="AW20" s="51">
        <f>ROUND(F20*AO20,2)</f>
        <v>0</v>
      </c>
      <c r="AX20" s="51">
        <f>ROUND(F20*AP20,2)</f>
        <v>0</v>
      </c>
      <c r="AY20" s="53" t="s">
        <v>116</v>
      </c>
      <c r="AZ20" s="53" t="s">
        <v>117</v>
      </c>
      <c r="BA20" s="35" t="s">
        <v>118</v>
      </c>
      <c r="BC20" s="51">
        <f>AW20+AX20</f>
        <v>0</v>
      </c>
      <c r="BD20" s="51">
        <f>G20/(100-BE20)*100</f>
        <v>0</v>
      </c>
      <c r="BE20" s="51">
        <v>0</v>
      </c>
      <c r="BF20" s="51">
        <f>20</f>
        <v>20</v>
      </c>
      <c r="BH20" s="51">
        <f>F20*AO20</f>
        <v>0</v>
      </c>
      <c r="BI20" s="51">
        <f>F20*AP20</f>
        <v>0</v>
      </c>
      <c r="BJ20" s="51">
        <f>F20*G20</f>
        <v>0</v>
      </c>
      <c r="BK20" s="53" t="s">
        <v>119</v>
      </c>
      <c r="BL20" s="51">
        <v>767</v>
      </c>
      <c r="BW20" s="51">
        <v>21</v>
      </c>
      <c r="BX20" s="3" t="s">
        <v>132</v>
      </c>
    </row>
    <row r="21" spans="1:76" ht="13.5" customHeight="1" x14ac:dyDescent="0.25">
      <c r="A21" s="54"/>
      <c r="B21" s="55" t="s">
        <v>120</v>
      </c>
      <c r="C21" s="136" t="s">
        <v>121</v>
      </c>
      <c r="D21" s="137"/>
      <c r="E21" s="137"/>
      <c r="F21" s="137"/>
      <c r="G21" s="138"/>
      <c r="H21" s="137"/>
      <c r="I21" s="137"/>
      <c r="J21" s="139"/>
    </row>
    <row r="22" spans="1:76" ht="25.5" x14ac:dyDescent="0.25">
      <c r="A22" s="1" t="s">
        <v>133</v>
      </c>
      <c r="B22" s="2" t="s">
        <v>134</v>
      </c>
      <c r="C22" s="62" t="s">
        <v>135</v>
      </c>
      <c r="D22" s="63"/>
      <c r="E22" s="2" t="s">
        <v>114</v>
      </c>
      <c r="F22" s="51">
        <v>2</v>
      </c>
      <c r="G22" s="52"/>
      <c r="H22" s="51">
        <f>ROUND(F22*G22,2)</f>
        <v>0</v>
      </c>
      <c r="J22" s="41"/>
      <c r="Z22" s="51">
        <f>ROUND(IF(AQ22="5",BJ22,0),2)</f>
        <v>0</v>
      </c>
      <c r="AB22" s="51">
        <f>ROUND(IF(AQ22="1",BH22,0),2)</f>
        <v>0</v>
      </c>
      <c r="AC22" s="51">
        <f>ROUND(IF(AQ22="1",BI22,0),2)</f>
        <v>0</v>
      </c>
      <c r="AD22" s="51">
        <f>ROUND(IF(AQ22="7",BH22,0),2)</f>
        <v>0</v>
      </c>
      <c r="AE22" s="51">
        <f>ROUND(IF(AQ22="7",BI22,0),2)</f>
        <v>0</v>
      </c>
      <c r="AF22" s="51">
        <f>ROUND(IF(AQ22="2",BH22,0),2)</f>
        <v>0</v>
      </c>
      <c r="AG22" s="51">
        <f>ROUND(IF(AQ22="2",BI22,0),2)</f>
        <v>0</v>
      </c>
      <c r="AH22" s="51">
        <f>ROUND(IF(AQ22="0",BJ22,0),2)</f>
        <v>0</v>
      </c>
      <c r="AI22" s="35" t="s">
        <v>4</v>
      </c>
      <c r="AJ22" s="51">
        <f>IF(AN22=0,H22,0)</f>
        <v>0</v>
      </c>
      <c r="AK22" s="51">
        <f>IF(AN22=12,H22,0)</f>
        <v>0</v>
      </c>
      <c r="AL22" s="51">
        <f>IF(AN22=21,H22,0)</f>
        <v>0</v>
      </c>
      <c r="AN22" s="51">
        <v>21</v>
      </c>
      <c r="AO22" s="51">
        <f>G22*0.10274269</f>
        <v>0</v>
      </c>
      <c r="AP22" s="51">
        <f>G22*(1-0.10274269)</f>
        <v>0</v>
      </c>
      <c r="AQ22" s="53" t="s">
        <v>115</v>
      </c>
      <c r="AV22" s="51">
        <f>ROUND(AW22+AX22,2)</f>
        <v>0</v>
      </c>
      <c r="AW22" s="51">
        <f>ROUND(F22*AO22,2)</f>
        <v>0</v>
      </c>
      <c r="AX22" s="51">
        <f>ROUND(F22*AP22,2)</f>
        <v>0</v>
      </c>
      <c r="AY22" s="53" t="s">
        <v>116</v>
      </c>
      <c r="AZ22" s="53" t="s">
        <v>117</v>
      </c>
      <c r="BA22" s="35" t="s">
        <v>118</v>
      </c>
      <c r="BC22" s="51">
        <f>AW22+AX22</f>
        <v>0</v>
      </c>
      <c r="BD22" s="51">
        <f>G22/(100-BE22)*100</f>
        <v>0</v>
      </c>
      <c r="BE22" s="51">
        <v>0</v>
      </c>
      <c r="BF22" s="51">
        <f>22</f>
        <v>22</v>
      </c>
      <c r="BH22" s="51">
        <f>F22*AO22</f>
        <v>0</v>
      </c>
      <c r="BI22" s="51">
        <f>F22*AP22</f>
        <v>0</v>
      </c>
      <c r="BJ22" s="51">
        <f>F22*G22</f>
        <v>0</v>
      </c>
      <c r="BK22" s="53" t="s">
        <v>119</v>
      </c>
      <c r="BL22" s="51">
        <v>767</v>
      </c>
      <c r="BW22" s="51">
        <v>21</v>
      </c>
      <c r="BX22" s="3" t="s">
        <v>135</v>
      </c>
    </row>
    <row r="23" spans="1:76" ht="13.5" customHeight="1" x14ac:dyDescent="0.25">
      <c r="A23" s="54"/>
      <c r="B23" s="55" t="s">
        <v>120</v>
      </c>
      <c r="C23" s="136" t="s">
        <v>121</v>
      </c>
      <c r="D23" s="137"/>
      <c r="E23" s="137"/>
      <c r="F23" s="137"/>
      <c r="G23" s="138"/>
      <c r="H23" s="137"/>
      <c r="I23" s="137"/>
      <c r="J23" s="139"/>
    </row>
    <row r="24" spans="1:76" x14ac:dyDescent="0.25">
      <c r="A24" s="1" t="s">
        <v>136</v>
      </c>
      <c r="B24" s="2" t="s">
        <v>137</v>
      </c>
      <c r="C24" s="62" t="s">
        <v>138</v>
      </c>
      <c r="D24" s="63"/>
      <c r="E24" s="2" t="s">
        <v>61</v>
      </c>
      <c r="F24" s="51">
        <v>5155</v>
      </c>
      <c r="G24" s="52"/>
      <c r="H24" s="51">
        <f>ROUND(F24*G24,2)</f>
        <v>0</v>
      </c>
      <c r="J24" s="41"/>
      <c r="Z24" s="51">
        <f>ROUND(IF(AQ24="5",BJ24,0),2)</f>
        <v>0</v>
      </c>
      <c r="AB24" s="51">
        <f>ROUND(IF(AQ24="1",BH24,0),2)</f>
        <v>0</v>
      </c>
      <c r="AC24" s="51">
        <f>ROUND(IF(AQ24="1",BI24,0),2)</f>
        <v>0</v>
      </c>
      <c r="AD24" s="51">
        <f>ROUND(IF(AQ24="7",BH24,0),2)</f>
        <v>0</v>
      </c>
      <c r="AE24" s="51">
        <f>ROUND(IF(AQ24="7",BI24,0),2)</f>
        <v>0</v>
      </c>
      <c r="AF24" s="51">
        <f>ROUND(IF(AQ24="2",BH24,0),2)</f>
        <v>0</v>
      </c>
      <c r="AG24" s="51">
        <f>ROUND(IF(AQ24="2",BI24,0),2)</f>
        <v>0</v>
      </c>
      <c r="AH24" s="51">
        <f>ROUND(IF(AQ24="0",BJ24,0),2)</f>
        <v>0</v>
      </c>
      <c r="AI24" s="35" t="s">
        <v>4</v>
      </c>
      <c r="AJ24" s="51">
        <f>IF(AN24=0,H24,0)</f>
        <v>0</v>
      </c>
      <c r="AK24" s="51">
        <f>IF(AN24=12,H24,0)</f>
        <v>0</v>
      </c>
      <c r="AL24" s="51">
        <f>IF(AN24=21,H24,0)</f>
        <v>0</v>
      </c>
      <c r="AN24" s="51">
        <v>21</v>
      </c>
      <c r="AO24" s="51">
        <f>G24*0</f>
        <v>0</v>
      </c>
      <c r="AP24" s="51">
        <f>G24*(1-0)</f>
        <v>0</v>
      </c>
      <c r="AQ24" s="53" t="s">
        <v>133</v>
      </c>
      <c r="AV24" s="51">
        <f>ROUND(AW24+AX24,2)</f>
        <v>0</v>
      </c>
      <c r="AW24" s="51">
        <f>ROUND(F24*AO24,2)</f>
        <v>0</v>
      </c>
      <c r="AX24" s="51">
        <f>ROUND(F24*AP24,2)</f>
        <v>0</v>
      </c>
      <c r="AY24" s="53" t="s">
        <v>116</v>
      </c>
      <c r="AZ24" s="53" t="s">
        <v>117</v>
      </c>
      <c r="BA24" s="35" t="s">
        <v>118</v>
      </c>
      <c r="BC24" s="51">
        <f>AW24+AX24</f>
        <v>0</v>
      </c>
      <c r="BD24" s="51">
        <f>G24/(100-BE24)*100</f>
        <v>0</v>
      </c>
      <c r="BE24" s="51">
        <v>0</v>
      </c>
      <c r="BF24" s="51">
        <f>24</f>
        <v>24</v>
      </c>
      <c r="BH24" s="51">
        <f>F24*AO24</f>
        <v>0</v>
      </c>
      <c r="BI24" s="51">
        <f>F24*AP24</f>
        <v>0</v>
      </c>
      <c r="BJ24" s="51">
        <f>F24*G24</f>
        <v>0</v>
      </c>
      <c r="BK24" s="53" t="s">
        <v>119</v>
      </c>
      <c r="BL24" s="51">
        <v>767</v>
      </c>
      <c r="BW24" s="51">
        <v>21</v>
      </c>
      <c r="BX24" s="3" t="s">
        <v>138</v>
      </c>
    </row>
    <row r="25" spans="1:76" x14ac:dyDescent="0.25">
      <c r="A25" s="47" t="s">
        <v>4</v>
      </c>
      <c r="B25" s="48" t="s">
        <v>139</v>
      </c>
      <c r="C25" s="134" t="s">
        <v>57</v>
      </c>
      <c r="D25" s="135"/>
      <c r="E25" s="49" t="s">
        <v>79</v>
      </c>
      <c r="F25" s="49" t="s">
        <v>79</v>
      </c>
      <c r="G25" s="50" t="s">
        <v>79</v>
      </c>
      <c r="H25" s="28">
        <f>H26</f>
        <v>0</v>
      </c>
      <c r="J25" s="41"/>
      <c r="AI25" s="35" t="s">
        <v>4</v>
      </c>
    </row>
    <row r="26" spans="1:76" x14ac:dyDescent="0.25">
      <c r="A26" s="47" t="s">
        <v>4</v>
      </c>
      <c r="B26" s="48" t="s">
        <v>140</v>
      </c>
      <c r="C26" s="134" t="s">
        <v>73</v>
      </c>
      <c r="D26" s="135"/>
      <c r="E26" s="49" t="s">
        <v>79</v>
      </c>
      <c r="F26" s="49" t="s">
        <v>79</v>
      </c>
      <c r="G26" s="50" t="s">
        <v>79</v>
      </c>
      <c r="H26" s="28">
        <f>SUM(H27:H31)</f>
        <v>0</v>
      </c>
      <c r="J26" s="41"/>
      <c r="AI26" s="35" t="s">
        <v>4</v>
      </c>
      <c r="AS26" s="28">
        <f>SUM(AJ27:AJ31)</f>
        <v>0</v>
      </c>
      <c r="AT26" s="28">
        <f>SUM(AK27:AK31)</f>
        <v>0</v>
      </c>
      <c r="AU26" s="28">
        <f>SUM(AL27:AL31)</f>
        <v>0</v>
      </c>
    </row>
    <row r="27" spans="1:76" x14ac:dyDescent="0.25">
      <c r="A27" s="1" t="s">
        <v>115</v>
      </c>
      <c r="B27" s="2" t="s">
        <v>141</v>
      </c>
      <c r="C27" s="62" t="s">
        <v>142</v>
      </c>
      <c r="D27" s="63"/>
      <c r="E27" s="2" t="s">
        <v>143</v>
      </c>
      <c r="F27" s="51">
        <v>1</v>
      </c>
      <c r="G27" s="52"/>
      <c r="H27" s="51">
        <f>ROUND(F27*G27,2)</f>
        <v>0</v>
      </c>
      <c r="J27" s="41"/>
      <c r="Z27" s="51">
        <f>ROUND(IF(AQ27="5",BJ27,0),2)</f>
        <v>0</v>
      </c>
      <c r="AB27" s="51">
        <f>ROUND(IF(AQ27="1",BH27,0),2)</f>
        <v>0</v>
      </c>
      <c r="AC27" s="51">
        <f>ROUND(IF(AQ27="1",BI27,0),2)</f>
        <v>0</v>
      </c>
      <c r="AD27" s="51">
        <f>ROUND(IF(AQ27="7",BH27,0),2)</f>
        <v>0</v>
      </c>
      <c r="AE27" s="51">
        <f>ROUND(IF(AQ27="7",BI27,0),2)</f>
        <v>0</v>
      </c>
      <c r="AF27" s="51">
        <f>ROUND(IF(AQ27="2",BH27,0),2)</f>
        <v>0</v>
      </c>
      <c r="AG27" s="51">
        <f>ROUND(IF(AQ27="2",BI27,0),2)</f>
        <v>0</v>
      </c>
      <c r="AH27" s="51">
        <f>ROUND(IF(AQ27="0",BJ27,0),2)</f>
        <v>0</v>
      </c>
      <c r="AI27" s="35" t="s">
        <v>4</v>
      </c>
      <c r="AJ27" s="51">
        <f>IF(AN27=0,H27,0)</f>
        <v>0</v>
      </c>
      <c r="AK27" s="51">
        <f>IF(AN27=12,H27,0)</f>
        <v>0</v>
      </c>
      <c r="AL27" s="51">
        <f>IF(AN27=21,H27,0)</f>
        <v>0</v>
      </c>
      <c r="AN27" s="51">
        <v>21</v>
      </c>
      <c r="AO27" s="51">
        <f>G27*0</f>
        <v>0</v>
      </c>
      <c r="AP27" s="51">
        <f>G27*(1-0)</f>
        <v>0</v>
      </c>
      <c r="AQ27" s="53" t="s">
        <v>144</v>
      </c>
      <c r="AV27" s="51">
        <f>ROUND(AW27+AX27,2)</f>
        <v>0</v>
      </c>
      <c r="AW27" s="51">
        <f>ROUND(F27*AO27,2)</f>
        <v>0</v>
      </c>
      <c r="AX27" s="51">
        <f>ROUND(F27*AP27,2)</f>
        <v>0</v>
      </c>
      <c r="AY27" s="53" t="s">
        <v>145</v>
      </c>
      <c r="AZ27" s="53" t="s">
        <v>146</v>
      </c>
      <c r="BA27" s="35" t="s">
        <v>118</v>
      </c>
      <c r="BC27" s="51">
        <f>AW27+AX27</f>
        <v>0</v>
      </c>
      <c r="BD27" s="51">
        <f>G27/(100-BE27)*100</f>
        <v>0</v>
      </c>
      <c r="BE27" s="51">
        <v>0</v>
      </c>
      <c r="BF27" s="51">
        <f>27</f>
        <v>27</v>
      </c>
      <c r="BH27" s="51">
        <f>F27*AO27</f>
        <v>0</v>
      </c>
      <c r="BI27" s="51">
        <f>F27*AP27</f>
        <v>0</v>
      </c>
      <c r="BJ27" s="51">
        <f>F27*G27</f>
        <v>0</v>
      </c>
      <c r="BK27" s="53" t="s">
        <v>119</v>
      </c>
      <c r="BL27" s="51"/>
      <c r="BU27" s="51">
        <f>F27*G27</f>
        <v>0</v>
      </c>
      <c r="BW27" s="51">
        <v>21</v>
      </c>
      <c r="BX27" s="3" t="s">
        <v>142</v>
      </c>
    </row>
    <row r="28" spans="1:76" x14ac:dyDescent="0.25">
      <c r="A28" s="1" t="s">
        <v>147</v>
      </c>
      <c r="B28" s="2" t="s">
        <v>148</v>
      </c>
      <c r="C28" s="62" t="s">
        <v>25</v>
      </c>
      <c r="D28" s="63"/>
      <c r="E28" s="2" t="s">
        <v>143</v>
      </c>
      <c r="F28" s="51">
        <v>1</v>
      </c>
      <c r="G28" s="52"/>
      <c r="H28" s="51">
        <f>ROUND(F28*G28,2)</f>
        <v>0</v>
      </c>
      <c r="J28" s="41"/>
      <c r="Z28" s="51">
        <f>ROUND(IF(AQ28="5",BJ28,0),2)</f>
        <v>0</v>
      </c>
      <c r="AB28" s="51">
        <f>ROUND(IF(AQ28="1",BH28,0),2)</f>
        <v>0</v>
      </c>
      <c r="AC28" s="51">
        <f>ROUND(IF(AQ28="1",BI28,0),2)</f>
        <v>0</v>
      </c>
      <c r="AD28" s="51">
        <f>ROUND(IF(AQ28="7",BH28,0),2)</f>
        <v>0</v>
      </c>
      <c r="AE28" s="51">
        <f>ROUND(IF(AQ28="7",BI28,0),2)</f>
        <v>0</v>
      </c>
      <c r="AF28" s="51">
        <f>ROUND(IF(AQ28="2",BH28,0),2)</f>
        <v>0</v>
      </c>
      <c r="AG28" s="51">
        <f>ROUND(IF(AQ28="2",BI28,0),2)</f>
        <v>0</v>
      </c>
      <c r="AH28" s="51">
        <f>ROUND(IF(AQ28="0",BJ28,0),2)</f>
        <v>0</v>
      </c>
      <c r="AI28" s="35" t="s">
        <v>4</v>
      </c>
      <c r="AJ28" s="51">
        <f>IF(AN28=0,H28,0)</f>
        <v>0</v>
      </c>
      <c r="AK28" s="51">
        <f>IF(AN28=12,H28,0)</f>
        <v>0</v>
      </c>
      <c r="AL28" s="51">
        <f>IF(AN28=21,H28,0)</f>
        <v>0</v>
      </c>
      <c r="AN28" s="51">
        <v>21</v>
      </c>
      <c r="AO28" s="51">
        <f>G28*0</f>
        <v>0</v>
      </c>
      <c r="AP28" s="51">
        <f>G28*(1-0)</f>
        <v>0</v>
      </c>
      <c r="AQ28" s="53" t="s">
        <v>144</v>
      </c>
      <c r="AV28" s="51">
        <f>ROUND(AW28+AX28,2)</f>
        <v>0</v>
      </c>
      <c r="AW28" s="51">
        <f>ROUND(F28*AO28,2)</f>
        <v>0</v>
      </c>
      <c r="AX28" s="51">
        <f>ROUND(F28*AP28,2)</f>
        <v>0</v>
      </c>
      <c r="AY28" s="53" t="s">
        <v>145</v>
      </c>
      <c r="AZ28" s="53" t="s">
        <v>146</v>
      </c>
      <c r="BA28" s="35" t="s">
        <v>118</v>
      </c>
      <c r="BC28" s="51">
        <f>AW28+AX28</f>
        <v>0</v>
      </c>
      <c r="BD28" s="51">
        <f>G28/(100-BE28)*100</f>
        <v>0</v>
      </c>
      <c r="BE28" s="51">
        <v>0</v>
      </c>
      <c r="BF28" s="51">
        <f>28</f>
        <v>28</v>
      </c>
      <c r="BH28" s="51">
        <f>F28*AO28</f>
        <v>0</v>
      </c>
      <c r="BI28" s="51">
        <f>F28*AP28</f>
        <v>0</v>
      </c>
      <c r="BJ28" s="51">
        <f>F28*G28</f>
        <v>0</v>
      </c>
      <c r="BK28" s="53" t="s">
        <v>119</v>
      </c>
      <c r="BL28" s="51"/>
      <c r="BU28" s="51">
        <f>F28*G28</f>
        <v>0</v>
      </c>
      <c r="BW28" s="51">
        <v>21</v>
      </c>
      <c r="BX28" s="3" t="s">
        <v>25</v>
      </c>
    </row>
    <row r="29" spans="1:76" x14ac:dyDescent="0.25">
      <c r="A29" s="1" t="s">
        <v>149</v>
      </c>
      <c r="B29" s="2" t="s">
        <v>150</v>
      </c>
      <c r="C29" s="62" t="s">
        <v>151</v>
      </c>
      <c r="D29" s="63"/>
      <c r="E29" s="2" t="s">
        <v>143</v>
      </c>
      <c r="F29" s="51">
        <v>1</v>
      </c>
      <c r="G29" s="52"/>
      <c r="H29" s="51">
        <f>ROUND(F29*G29,2)</f>
        <v>0</v>
      </c>
      <c r="J29" s="41"/>
      <c r="Z29" s="51">
        <f>ROUND(IF(AQ29="5",BJ29,0),2)</f>
        <v>0</v>
      </c>
      <c r="AB29" s="51">
        <f>ROUND(IF(AQ29="1",BH29,0),2)</f>
        <v>0</v>
      </c>
      <c r="AC29" s="51">
        <f>ROUND(IF(AQ29="1",BI29,0),2)</f>
        <v>0</v>
      </c>
      <c r="AD29" s="51">
        <f>ROUND(IF(AQ29="7",BH29,0),2)</f>
        <v>0</v>
      </c>
      <c r="AE29" s="51">
        <f>ROUND(IF(AQ29="7",BI29,0),2)</f>
        <v>0</v>
      </c>
      <c r="AF29" s="51">
        <f>ROUND(IF(AQ29="2",BH29,0),2)</f>
        <v>0</v>
      </c>
      <c r="AG29" s="51">
        <f>ROUND(IF(AQ29="2",BI29,0),2)</f>
        <v>0</v>
      </c>
      <c r="AH29" s="51">
        <f>ROUND(IF(AQ29="0",BJ29,0),2)</f>
        <v>0</v>
      </c>
      <c r="AI29" s="35" t="s">
        <v>4</v>
      </c>
      <c r="AJ29" s="51">
        <f>IF(AN29=0,H29,0)</f>
        <v>0</v>
      </c>
      <c r="AK29" s="51">
        <f>IF(AN29=12,H29,0)</f>
        <v>0</v>
      </c>
      <c r="AL29" s="51">
        <f>IF(AN29=21,H29,0)</f>
        <v>0</v>
      </c>
      <c r="AN29" s="51">
        <v>21</v>
      </c>
      <c r="AO29" s="51">
        <f>G29*0</f>
        <v>0</v>
      </c>
      <c r="AP29" s="51">
        <f>G29*(1-0)</f>
        <v>0</v>
      </c>
      <c r="AQ29" s="53" t="s">
        <v>144</v>
      </c>
      <c r="AV29" s="51">
        <f>ROUND(AW29+AX29,2)</f>
        <v>0</v>
      </c>
      <c r="AW29" s="51">
        <f>ROUND(F29*AO29,2)</f>
        <v>0</v>
      </c>
      <c r="AX29" s="51">
        <f>ROUND(F29*AP29,2)</f>
        <v>0</v>
      </c>
      <c r="AY29" s="53" t="s">
        <v>145</v>
      </c>
      <c r="AZ29" s="53" t="s">
        <v>146</v>
      </c>
      <c r="BA29" s="35" t="s">
        <v>118</v>
      </c>
      <c r="BC29" s="51">
        <f>AW29+AX29</f>
        <v>0</v>
      </c>
      <c r="BD29" s="51">
        <f>G29/(100-BE29)*100</f>
        <v>0</v>
      </c>
      <c r="BE29" s="51">
        <v>0</v>
      </c>
      <c r="BF29" s="51">
        <f>29</f>
        <v>29</v>
      </c>
      <c r="BH29" s="51">
        <f>F29*AO29</f>
        <v>0</v>
      </c>
      <c r="BI29" s="51">
        <f>F29*AP29</f>
        <v>0</v>
      </c>
      <c r="BJ29" s="51">
        <f>F29*G29</f>
        <v>0</v>
      </c>
      <c r="BK29" s="53" t="s">
        <v>119</v>
      </c>
      <c r="BL29" s="51"/>
      <c r="BU29" s="51">
        <f>F29*G29</f>
        <v>0</v>
      </c>
      <c r="BW29" s="51">
        <v>21</v>
      </c>
      <c r="BX29" s="3" t="s">
        <v>151</v>
      </c>
    </row>
    <row r="30" spans="1:76" x14ac:dyDescent="0.25">
      <c r="A30" s="1" t="s">
        <v>152</v>
      </c>
      <c r="B30" s="2" t="s">
        <v>153</v>
      </c>
      <c r="C30" s="62" t="s">
        <v>154</v>
      </c>
      <c r="D30" s="63"/>
      <c r="E30" s="2" t="s">
        <v>143</v>
      </c>
      <c r="F30" s="51">
        <v>1</v>
      </c>
      <c r="G30" s="52"/>
      <c r="H30" s="51">
        <f>ROUND(F30*G30,2)</f>
        <v>0</v>
      </c>
      <c r="J30" s="41"/>
      <c r="Z30" s="51">
        <f>ROUND(IF(AQ30="5",BJ30,0),2)</f>
        <v>0</v>
      </c>
      <c r="AB30" s="51">
        <f>ROUND(IF(AQ30="1",BH30,0),2)</f>
        <v>0</v>
      </c>
      <c r="AC30" s="51">
        <f>ROUND(IF(AQ30="1",BI30,0),2)</f>
        <v>0</v>
      </c>
      <c r="AD30" s="51">
        <f>ROUND(IF(AQ30="7",BH30,0),2)</f>
        <v>0</v>
      </c>
      <c r="AE30" s="51">
        <f>ROUND(IF(AQ30="7",BI30,0),2)</f>
        <v>0</v>
      </c>
      <c r="AF30" s="51">
        <f>ROUND(IF(AQ30="2",BH30,0),2)</f>
        <v>0</v>
      </c>
      <c r="AG30" s="51">
        <f>ROUND(IF(AQ30="2",BI30,0),2)</f>
        <v>0</v>
      </c>
      <c r="AH30" s="51">
        <f>ROUND(IF(AQ30="0",BJ30,0),2)</f>
        <v>0</v>
      </c>
      <c r="AI30" s="35" t="s">
        <v>4</v>
      </c>
      <c r="AJ30" s="51">
        <f>IF(AN30=0,H30,0)</f>
        <v>0</v>
      </c>
      <c r="AK30" s="51">
        <f>IF(AN30=12,H30,0)</f>
        <v>0</v>
      </c>
      <c r="AL30" s="51">
        <f>IF(AN30=21,H30,0)</f>
        <v>0</v>
      </c>
      <c r="AN30" s="51">
        <v>21</v>
      </c>
      <c r="AO30" s="51">
        <f>G30*0</f>
        <v>0</v>
      </c>
      <c r="AP30" s="51">
        <f>G30*(1-0)</f>
        <v>0</v>
      </c>
      <c r="AQ30" s="53" t="s">
        <v>144</v>
      </c>
      <c r="AV30" s="51">
        <f>ROUND(AW30+AX30,2)</f>
        <v>0</v>
      </c>
      <c r="AW30" s="51">
        <f>ROUND(F30*AO30,2)</f>
        <v>0</v>
      </c>
      <c r="AX30" s="51">
        <f>ROUND(F30*AP30,2)</f>
        <v>0</v>
      </c>
      <c r="AY30" s="53" t="s">
        <v>145</v>
      </c>
      <c r="AZ30" s="53" t="s">
        <v>146</v>
      </c>
      <c r="BA30" s="35" t="s">
        <v>118</v>
      </c>
      <c r="BC30" s="51">
        <f>AW30+AX30</f>
        <v>0</v>
      </c>
      <c r="BD30" s="51">
        <f>G30/(100-BE30)*100</f>
        <v>0</v>
      </c>
      <c r="BE30" s="51">
        <v>0</v>
      </c>
      <c r="BF30" s="51">
        <f>30</f>
        <v>30</v>
      </c>
      <c r="BH30" s="51">
        <f>F30*AO30</f>
        <v>0</v>
      </c>
      <c r="BI30" s="51">
        <f>F30*AP30</f>
        <v>0</v>
      </c>
      <c r="BJ30" s="51">
        <f>F30*G30</f>
        <v>0</v>
      </c>
      <c r="BK30" s="53" t="s">
        <v>119</v>
      </c>
      <c r="BL30" s="51"/>
      <c r="BU30" s="51">
        <f>F30*G30</f>
        <v>0</v>
      </c>
      <c r="BW30" s="51">
        <v>21</v>
      </c>
      <c r="BX30" s="3" t="s">
        <v>154</v>
      </c>
    </row>
    <row r="31" spans="1:76" x14ac:dyDescent="0.25">
      <c r="A31" s="4" t="s">
        <v>155</v>
      </c>
      <c r="B31" s="5" t="s">
        <v>156</v>
      </c>
      <c r="C31" s="133" t="s">
        <v>157</v>
      </c>
      <c r="D31" s="99"/>
      <c r="E31" s="5" t="s">
        <v>143</v>
      </c>
      <c r="F31" s="56">
        <v>1</v>
      </c>
      <c r="G31" s="57"/>
      <c r="H31" s="56">
        <f>ROUND(F31*G31,2)</f>
        <v>0</v>
      </c>
      <c r="I31" s="58"/>
      <c r="J31" s="59"/>
      <c r="Z31" s="51">
        <f>ROUND(IF(AQ31="5",BJ31,0),2)</f>
        <v>0</v>
      </c>
      <c r="AB31" s="51">
        <f>ROUND(IF(AQ31="1",BH31,0),2)</f>
        <v>0</v>
      </c>
      <c r="AC31" s="51">
        <f>ROUND(IF(AQ31="1",BI31,0),2)</f>
        <v>0</v>
      </c>
      <c r="AD31" s="51">
        <f>ROUND(IF(AQ31="7",BH31,0),2)</f>
        <v>0</v>
      </c>
      <c r="AE31" s="51">
        <f>ROUND(IF(AQ31="7",BI31,0),2)</f>
        <v>0</v>
      </c>
      <c r="AF31" s="51">
        <f>ROUND(IF(AQ31="2",BH31,0),2)</f>
        <v>0</v>
      </c>
      <c r="AG31" s="51">
        <f>ROUND(IF(AQ31="2",BI31,0),2)</f>
        <v>0</v>
      </c>
      <c r="AH31" s="51">
        <f>ROUND(IF(AQ31="0",BJ31,0),2)</f>
        <v>0</v>
      </c>
      <c r="AI31" s="35" t="s">
        <v>4</v>
      </c>
      <c r="AJ31" s="51">
        <f>IF(AN31=0,H31,0)</f>
        <v>0</v>
      </c>
      <c r="AK31" s="51">
        <f>IF(AN31=12,H31,0)</f>
        <v>0</v>
      </c>
      <c r="AL31" s="51">
        <f>IF(AN31=21,H31,0)</f>
        <v>0</v>
      </c>
      <c r="AN31" s="51">
        <v>21</v>
      </c>
      <c r="AO31" s="51">
        <f>G31*0</f>
        <v>0</v>
      </c>
      <c r="AP31" s="51">
        <f>G31*(1-0)</f>
        <v>0</v>
      </c>
      <c r="AQ31" s="53" t="s">
        <v>144</v>
      </c>
      <c r="AV31" s="51">
        <f>ROUND(AW31+AX31,2)</f>
        <v>0</v>
      </c>
      <c r="AW31" s="51">
        <f>ROUND(F31*AO31,2)</f>
        <v>0</v>
      </c>
      <c r="AX31" s="51">
        <f>ROUND(F31*AP31,2)</f>
        <v>0</v>
      </c>
      <c r="AY31" s="53" t="s">
        <v>145</v>
      </c>
      <c r="AZ31" s="53" t="s">
        <v>146</v>
      </c>
      <c r="BA31" s="35" t="s">
        <v>118</v>
      </c>
      <c r="BC31" s="51">
        <f>AW31+AX31</f>
        <v>0</v>
      </c>
      <c r="BD31" s="51">
        <f>G31/(100-BE31)*100</f>
        <v>0</v>
      </c>
      <c r="BE31" s="51">
        <v>0</v>
      </c>
      <c r="BF31" s="51">
        <f>31</f>
        <v>31</v>
      </c>
      <c r="BH31" s="51">
        <f>F31*AO31</f>
        <v>0</v>
      </c>
      <c r="BI31" s="51">
        <f>F31*AP31</f>
        <v>0</v>
      </c>
      <c r="BJ31" s="51">
        <f>F31*G31</f>
        <v>0</v>
      </c>
      <c r="BK31" s="53" t="s">
        <v>119</v>
      </c>
      <c r="BL31" s="51"/>
      <c r="BU31" s="51">
        <f>F31*G31</f>
        <v>0</v>
      </c>
      <c r="BW31" s="51">
        <v>21</v>
      </c>
      <c r="BX31" s="3" t="s">
        <v>157</v>
      </c>
    </row>
    <row r="32" spans="1:76" x14ac:dyDescent="0.25">
      <c r="H32" s="60">
        <f>ROUND(H13+H26,2)</f>
        <v>0</v>
      </c>
    </row>
    <row r="33" spans="1:10" x14ac:dyDescent="0.25">
      <c r="A33" s="61" t="s">
        <v>56</v>
      </c>
    </row>
    <row r="34" spans="1:10" ht="12.75" customHeight="1" x14ac:dyDescent="0.25">
      <c r="A34" s="62" t="s">
        <v>4</v>
      </c>
      <c r="B34" s="63"/>
      <c r="C34" s="63"/>
      <c r="D34" s="63"/>
      <c r="E34" s="63"/>
      <c r="F34" s="63"/>
      <c r="G34" s="63"/>
      <c r="H34" s="63"/>
      <c r="I34" s="63"/>
      <c r="J34" s="63"/>
    </row>
  </sheetData>
  <sheetProtection password="CF7A" sheet="1"/>
  <mergeCells count="48"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C11:D11"/>
    <mergeCell ref="C12:D12"/>
    <mergeCell ref="C13:D13"/>
    <mergeCell ref="C14:D14"/>
    <mergeCell ref="C15:J15"/>
    <mergeCell ref="C16:D16"/>
    <mergeCell ref="C17:J17"/>
    <mergeCell ref="C18:D18"/>
    <mergeCell ref="C19:J19"/>
    <mergeCell ref="C20:D20"/>
    <mergeCell ref="C21:J21"/>
    <mergeCell ref="C22:D22"/>
    <mergeCell ref="C23:J23"/>
    <mergeCell ref="C24:D24"/>
    <mergeCell ref="C25:D25"/>
    <mergeCell ref="C31:D31"/>
    <mergeCell ref="A34:J34"/>
    <mergeCell ref="C26:D26"/>
    <mergeCell ref="C27:D27"/>
    <mergeCell ref="C28:D28"/>
    <mergeCell ref="C29:D29"/>
    <mergeCell ref="C30:D30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Kotoučková Jana Bc. DiS.</cp:lastModifiedBy>
  <dcterms:created xsi:type="dcterms:W3CDTF">2021-06-10T20:06:38Z</dcterms:created>
  <dcterms:modified xsi:type="dcterms:W3CDTF">2026-02-26T08:20:40Z</dcterms:modified>
</cp:coreProperties>
</file>