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30" yWindow="795" windowWidth="17100" windowHeight="9855" activeTab="0"/>
  </bookViews>
  <sheets>
    <sheet name="Stavební rozpočet" sheetId="1" r:id="rId1"/>
    <sheet name="Výkaz výměr" sheetId="2" r:id="rId2"/>
    <sheet name="Krycí list rozpočtu" sheetId="3" r:id="rId3"/>
  </sheets>
  <definedNames/>
  <calcPr fullCalcOnLoad="1"/>
</workbook>
</file>

<file path=xl/sharedStrings.xml><?xml version="1.0" encoding="utf-8"?>
<sst xmlns="http://schemas.openxmlformats.org/spreadsheetml/2006/main" count="1065" uniqueCount="449">
  <si>
    <t>Stavební rozpočet</t>
  </si>
  <si>
    <t>Název stavby:</t>
  </si>
  <si>
    <t>Druh stavby:</t>
  </si>
  <si>
    <t>Lokalita:</t>
  </si>
  <si>
    <t>JKSO:</t>
  </si>
  <si>
    <t xml:space="preserve"> </t>
  </si>
  <si>
    <t>Č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</si>
  <si>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</si>
  <si>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</si>
  <si>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</si>
  <si>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</si>
  <si>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</si>
  <si>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</si>
  <si>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</si>
  <si>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</si>
  <si>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</si>
  <si>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</si>
  <si>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</si>
  <si>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</si>
  <si>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</si>
  <si>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</si>
  <si>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</si>
  <si>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</si>
  <si>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</si>
  <si>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</si>
  <si>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</si>
  <si>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</si>
  <si>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</si>
  <si>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</si>
  <si>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</si>
  <si>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</si>
  <si>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</si>
  <si>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</si>
  <si>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</si>
  <si>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</si>
  <si>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</si>
  <si>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</si>
  <si>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</si>
  <si>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</si>
  <si>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</si>
  <si>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</si>
  <si>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</si>
  <si>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</si>
  <si>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</si>
  <si>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</si>
  <si>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</si>
  <si>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</si>
  <si>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</si>
  <si>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</si>
  <si>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</si>
  <si>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</si>
  <si>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</si>
  <si>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</si>
  <si>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</si>
  <si>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</si>
  <si>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</si>
  <si>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</si>
  <si>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</si>
  <si>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</si>
  <si>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</si>
  <si>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</si>
  <si>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</si>
  <si>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</si>
  <si>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</si>
  <si>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</si>
  <si>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</si>
  <si>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</si>
  <si>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Kód</t>
  </si>
  <si>
    <t>113107112R00</t>
  </si>
  <si>
    <t>132201202R00</t>
  </si>
  <si>
    <t>132201209R00</t>
  </si>
  <si>
    <t>162701105R00</t>
  </si>
  <si>
    <t>174101101R00</t>
  </si>
  <si>
    <t>310239211RT2</t>
  </si>
  <si>
    <t>451573111R00</t>
  </si>
  <si>
    <t>596215021R00</t>
  </si>
  <si>
    <t>61</t>
  </si>
  <si>
    <t>612421637R00</t>
  </si>
  <si>
    <t>62</t>
  </si>
  <si>
    <t>622471317RU2</t>
  </si>
  <si>
    <t>622421301RW1</t>
  </si>
  <si>
    <t>622421307R00</t>
  </si>
  <si>
    <t>622421121RT2</t>
  </si>
  <si>
    <t>621481115R00</t>
  </si>
  <si>
    <t>622421306RW1</t>
  </si>
  <si>
    <t>622421556RT1</t>
  </si>
  <si>
    <t>622421332RZ1</t>
  </si>
  <si>
    <t>629451112R00</t>
  </si>
  <si>
    <t>63</t>
  </si>
  <si>
    <t>632921913R00</t>
  </si>
  <si>
    <t>713</t>
  </si>
  <si>
    <t>713131131R00</t>
  </si>
  <si>
    <t>764</t>
  </si>
  <si>
    <t>764410350R00</t>
  </si>
  <si>
    <t>764929302RT2</t>
  </si>
  <si>
    <t>764321820R00</t>
  </si>
  <si>
    <t>767</t>
  </si>
  <si>
    <t>767991911R00</t>
  </si>
  <si>
    <t>767996801R00</t>
  </si>
  <si>
    <t>771</t>
  </si>
  <si>
    <t>771575101RT2</t>
  </si>
  <si>
    <t>783</t>
  </si>
  <si>
    <t>783104811R00</t>
  </si>
  <si>
    <t>783175550R00</t>
  </si>
  <si>
    <t>91</t>
  </si>
  <si>
    <t>916561111RT4</t>
  </si>
  <si>
    <t>96</t>
  </si>
  <si>
    <t>965042241RT6</t>
  </si>
  <si>
    <t>965081813R00</t>
  </si>
  <si>
    <t>965081712RT1</t>
  </si>
  <si>
    <t>968061113R00</t>
  </si>
  <si>
    <t>968062355R00</t>
  </si>
  <si>
    <t>962032241R00</t>
  </si>
  <si>
    <t>968071125R00</t>
  </si>
  <si>
    <t>968072455R00</t>
  </si>
  <si>
    <t>97</t>
  </si>
  <si>
    <t>978015261R00</t>
  </si>
  <si>
    <t>978059531R00</t>
  </si>
  <si>
    <t>H99</t>
  </si>
  <si>
    <t>999281112R00</t>
  </si>
  <si>
    <t>S0</t>
  </si>
  <si>
    <t>979011111R00</t>
  </si>
  <si>
    <t>979081111R00</t>
  </si>
  <si>
    <t>979081121R00</t>
  </si>
  <si>
    <t>979082111R00</t>
  </si>
  <si>
    <t>979082121R00</t>
  </si>
  <si>
    <t>979087311R00</t>
  </si>
  <si>
    <t>979999997R00</t>
  </si>
  <si>
    <t>00M2101VD</t>
  </si>
  <si>
    <t>766VD</t>
  </si>
  <si>
    <t>28375796</t>
  </si>
  <si>
    <t>62836163.A</t>
  </si>
  <si>
    <t>61103VD</t>
  </si>
  <si>
    <t>ZUŠ, Doležalovo nám. 4, Žďár n/S.</t>
  </si>
  <si>
    <t>Energetická opatření pro dotaci-výměna oken, dveří, zateplení fasád a střech</t>
  </si>
  <si>
    <t>NEUZNATELNÉ NÁKLADY</t>
  </si>
  <si>
    <t>Zkrácený popis</t>
  </si>
  <si>
    <t>Přípravné a přidružené práce</t>
  </si>
  <si>
    <t>Odstranění podkladu pl. 200 m2,kam.těžené tl.20 cm</t>
  </si>
  <si>
    <t>Hloubené vykopávky</t>
  </si>
  <si>
    <t>Hloubení rýh šířky do 200 cm v hor.3 do 1000 m3</t>
  </si>
  <si>
    <t>Příplatek za lepivost - hloubení rýh 200cm v hor.3</t>
  </si>
  <si>
    <t>Přemístění výkopku</t>
  </si>
  <si>
    <t>Vodorovné přemístění výkopku z hor.1-4 do 10000 m</t>
  </si>
  <si>
    <t>Konstrukce ze zemin</t>
  </si>
  <si>
    <t>Zásyp jam, rýh, šachet se zhutněním</t>
  </si>
  <si>
    <t>Zdi podpěrné a volné</t>
  </si>
  <si>
    <t>Zazdívka otvorů plochy do 4 m2 cihlami na MVC</t>
  </si>
  <si>
    <t>Podkladní a vedlejší konstrukce (inženýr. stavby kromě vozovek a železnič. svršku)</t>
  </si>
  <si>
    <t>Lože  ze štěrkopísku</t>
  </si>
  <si>
    <t>Dlažby pozemních komunikací a ploch</t>
  </si>
  <si>
    <t>Kladení zámkové dlažby tl. 6 cm do drtě tl. 4 cm-bez materiálu</t>
  </si>
  <si>
    <t>Úprava povrchů vnitřní</t>
  </si>
  <si>
    <t>Omítka vnitřní zdiva, MVC, štuková</t>
  </si>
  <si>
    <t>Úprava povrchů vnější</t>
  </si>
  <si>
    <t>Nátěr  stěn vnějších, složitost 5- LOGO</t>
  </si>
  <si>
    <t>Zateplovací systém  miner. vata tl. 30 mm-špalety oken</t>
  </si>
  <si>
    <t>Zateplovací systém- PIR  tl. 60mm (lambda=0,021W/mk)</t>
  </si>
  <si>
    <t>Omítka vnější stěn, MVC, hrubá zatřená</t>
  </si>
  <si>
    <t>Omítka + lepidlo+síťovina + marmolit</t>
  </si>
  <si>
    <t>Stávající zateplení soklu oprava, penetrace + marmolit</t>
  </si>
  <si>
    <t>Stávající zateplení soklu - penetrace + marmolit</t>
  </si>
  <si>
    <t>Zatepl. systém  XPS  tl. 100 mm-extrudovaný  polystyrén +MARMOLIT</t>
  </si>
  <si>
    <t>Zatepl. systém  XPS  tl. 100 mm-extrudovaný  polystyrén+silikonová omítka</t>
  </si>
  <si>
    <t>Zatepl. systém   XPS tl. 120mm-extrudovaný polystyrén +MARMOLIT</t>
  </si>
  <si>
    <t>Zatepl. systém   XPS tl. 120mm-extrudovaný polystyrén +silikonová omítka</t>
  </si>
  <si>
    <t>Zateplovací systém polystyrén NEO  EPS 70 F tl. 75-150mm - bez omítky</t>
  </si>
  <si>
    <t>Vyrovnávací vrstva pod parapety z betonu do  šířky do 30 cm</t>
  </si>
  <si>
    <t>Podlahy, podlahové konstrukce</t>
  </si>
  <si>
    <t>Dlažba z dlaždic betonových do písku, tl. 60 mm</t>
  </si>
  <si>
    <t>Izolace tepelné</t>
  </si>
  <si>
    <t>Izolace tepelná stěn lepením-svislé stěny atik-materiál ve specifikaci</t>
  </si>
  <si>
    <t>Konstrukce klempířské</t>
  </si>
  <si>
    <t>Oplechování parapetů včetně rohů  popl. plech tl. 0,6, rš 220 mm 1/K</t>
  </si>
  <si>
    <t>Demontáž oplechování zdí z popl. plechu, nad rš 330 mm-2/K,3/K,8/K</t>
  </si>
  <si>
    <t>Demontáž oplechování zateplení soklu , rš 250 mm</t>
  </si>
  <si>
    <t>Konstrukce doplňkové stavební (zámečnické)</t>
  </si>
  <si>
    <t>Posunutí koncového sloupku branky</t>
  </si>
  <si>
    <t>Demontáž atypických ocelových konstr. do 50 kg</t>
  </si>
  <si>
    <t>Podlahy z dlaždic</t>
  </si>
  <si>
    <t>Montáž podlah keram.,režné hladké, tmel, 10x5 cm+dlažba</t>
  </si>
  <si>
    <t>Nátěry</t>
  </si>
  <si>
    <t>Odstranění nátěrů z ocel.konstrukcí oškrábáním</t>
  </si>
  <si>
    <t>Nátěr polyuretanový ocelových konstrukcí</t>
  </si>
  <si>
    <t>Doplňující konstrukce a práce pozemních komunikací, letišť a ploch</t>
  </si>
  <si>
    <t>Osazení záhon.obrubníků do lože z B 12,5 s opěrou</t>
  </si>
  <si>
    <t>Bourání konstrukcí</t>
  </si>
  <si>
    <t>Bourání mazanin betonových tl. nad 10 cm, nad 4 m2</t>
  </si>
  <si>
    <t>Bourání dlaždic betonových tl. nad 1 cm, nad 1 m2</t>
  </si>
  <si>
    <t>Bourání dlaždic keramických tl.1 cm, pl. do 1 m2</t>
  </si>
  <si>
    <t>Vyvěšení dřevěných okenních křídel</t>
  </si>
  <si>
    <t>Vybourání dřevěných rámů oken</t>
  </si>
  <si>
    <t>Bourání zdiva z cihel pálených na MC</t>
  </si>
  <si>
    <t>Vyvěšení, zavěšení kovových křídel dveří pl. 2 m2</t>
  </si>
  <si>
    <t>Vybourání kovových dveřních zárubní pl. do 2 m2</t>
  </si>
  <si>
    <t>Prorážení otvorů a ostatní bourací práce</t>
  </si>
  <si>
    <t>Otlučení omítek vnějších MVC v složit.1-4 do 50 %</t>
  </si>
  <si>
    <t>Odsekání venkovních  obkladů soklu- chlumčanské pásky</t>
  </si>
  <si>
    <t>Ostatní přesuny hmot</t>
  </si>
  <si>
    <t>Přesun hmot pro opravy a údržbu do výšky 36 m</t>
  </si>
  <si>
    <t>Přesuny sutí</t>
  </si>
  <si>
    <t>Svislá doprava suti a vybour. hmot</t>
  </si>
  <si>
    <t>Odvoz suti a vybour. hmot na skládku do 1 km</t>
  </si>
  <si>
    <t>Příplatek k odvozu za každý další 1 km</t>
  </si>
  <si>
    <t>Vnitrostaveništní doprava suti do 10 m</t>
  </si>
  <si>
    <t>Příplatek k vnitrost. dopravě suti za dalších 5 m</t>
  </si>
  <si>
    <t>Vodorovné přemístění suti nošením do 10 m</t>
  </si>
  <si>
    <t>Poplatek za skládku čistá suť</t>
  </si>
  <si>
    <t>Ostatní materiál</t>
  </si>
  <si>
    <t>Hromosvod - D+M- dle projektové dokumentace a výpisu materiálu</t>
  </si>
  <si>
    <t>Hromosvod- demontáž stávajících vedení</t>
  </si>
  <si>
    <t>Hromosvod -  revize</t>
  </si>
  <si>
    <t>Prvky na fasádě-prodloužení o tl. zateplení-(světla, interkom, docházk. systém...)</t>
  </si>
  <si>
    <t>Plastové výrobky 150*150mm-větr. mřížky +prodloužení  v zateplení</t>
  </si>
  <si>
    <t>Plastové výrobky 300*300mm-větr. mřížky +prodloužení  v zateplení</t>
  </si>
  <si>
    <t>Deska polystyren. POLYDEK EPS70 TOP tl. 50 mm</t>
  </si>
  <si>
    <t>Pás hydroizolační  z modifikovaného asfaltu tl. 3,5mm, s nosnou vložkou z polyesterové rohožea mřížkou ze sklen. vláken a hrubozrným břidličným povrch</t>
  </si>
  <si>
    <t>D+M Plastové okno  900*900mm - pol 3; uw=1,2 ( celého okna) !!</t>
  </si>
  <si>
    <t>Doba výstavby:</t>
  </si>
  <si>
    <t>Začátek výstavby:</t>
  </si>
  <si>
    <t>Konec výstavby:</t>
  </si>
  <si>
    <t>Zpracováno dne:</t>
  </si>
  <si>
    <t>M.j.</t>
  </si>
  <si>
    <t>m2</t>
  </si>
  <si>
    <t>m3</t>
  </si>
  <si>
    <t>m</t>
  </si>
  <si>
    <t>kg</t>
  </si>
  <si>
    <t>kus</t>
  </si>
  <si>
    <t>t</t>
  </si>
  <si>
    <t>kompl.</t>
  </si>
  <si>
    <t>ks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</si>
  <si>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</si>
  <si>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</si>
  <si>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</si>
  <si>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</si>
  <si>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</si>
  <si>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</si>
  <si>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</si>
  <si>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</si>
  <si>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</si>
  <si>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</si>
  <si>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</si>
  <si>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Město Žďár nad Sázavou</t>
  </si>
  <si>
    <t>ing. Zbyněk Semerád</t>
  </si>
  <si>
    <t>Celkem</t>
  </si>
  <si>
    <t>Hmotnost (t)</t>
  </si>
  <si>
    <t>0</t>
  </si>
  <si>
    <t>Přesuny</t>
  </si>
  <si>
    <t>Typ skupiny</t>
  </si>
  <si>
    <t>HS</t>
  </si>
  <si>
    <t>PS</t>
  </si>
  <si>
    <t>PR</t>
  </si>
  <si>
    <t>OM</t>
  </si>
  <si>
    <t>HSV mat</t>
  </si>
  <si>
    <t>HSV prac</t>
  </si>
  <si>
    <t>PSV mat</t>
  </si>
  <si>
    <t>PSV prac</t>
  </si>
  <si>
    <t>Mont mat</t>
  </si>
  <si>
    <t>Mont prac</t>
  </si>
  <si>
    <t>Ostatní mat.</t>
  </si>
  <si>
    <t>Výkaz výměr</t>
  </si>
  <si>
    <t>Rozměry</t>
  </si>
  <si>
    <t>podklad pod bet. dlaždicemi</t>
  </si>
  <si>
    <t>(13.95+0.5+4.7+7.3+3+7+22.2+13.85+16.2+0.5+26.5+0.5)*0.5</t>
  </si>
  <si>
    <t>podklad pod betonem zpevněných ploch a bet. okap. chodníčku</t>
  </si>
  <si>
    <t>(13.95+0.5)*0.5+(4.7+7.3)*0.5+3*3*2</t>
  </si>
  <si>
    <t>((13.95+0.5+4.7+7.3+3+7+22.2+13.85+16.2+0.5+26.5+0.5))*0.2</t>
  </si>
  <si>
    <t>((13.95+0.5)+(4.7+7.3))*0.2</t>
  </si>
  <si>
    <t>zazdění otvoru po plech. dveřích strana JZ</t>
  </si>
  <si>
    <t>1*1.6*0.45</t>
  </si>
  <si>
    <t>((13.95+0.5+4.7+7.3+3+7+22.2+13.85+16.2+0.5+26.5+0.5))*0.2*0.5</t>
  </si>
  <si>
    <t>((13.95+0.5)+(4.7+7.3))*0.2*0.5</t>
  </si>
  <si>
    <t>vstupní terasa</t>
  </si>
  <si>
    <t>13.3+0.75*8+0.3*7</t>
  </si>
  <si>
    <t>¨1PP po vybouraných dveřích</t>
  </si>
  <si>
    <t>1.5*2</t>
  </si>
  <si>
    <t>nátěr fasádní barvou  LOGO - složitost 5</t>
  </si>
  <si>
    <t>Strana  JV</t>
  </si>
  <si>
    <t>0.4*(2.4+1.8*2)*8</t>
  </si>
  <si>
    <t>0.4*(2.4*3)*10</t>
  </si>
  <si>
    <t>0.4*(2.4+1.8*2)*5</t>
  </si>
  <si>
    <t>0.4*(2.4+1.5*2)*1</t>
  </si>
  <si>
    <t>0.4*(2.4+1.2*2)*2</t>
  </si>
  <si>
    <t>Strana SZ</t>
  </si>
  <si>
    <t>0.4*(2.4+1.8*2)*7</t>
  </si>
  <si>
    <t>1*(2.4*3)*12</t>
  </si>
  <si>
    <t>Strana JZ</t>
  </si>
  <si>
    <t>0.4*(2.4*3)*8</t>
  </si>
  <si>
    <t>0.4*(2.4+1.5*2)*2</t>
  </si>
  <si>
    <t>0.4*(0.9+1.5*2)*4</t>
  </si>
  <si>
    <t>0.4*(0.9+3*2)*5</t>
  </si>
  <si>
    <t>0.4*(0.9+2.4*2)*1</t>
  </si>
  <si>
    <t>0.4*(2.7+1.5*2)*1</t>
  </si>
  <si>
    <t>0.4*(1.8+1.5*2)*1</t>
  </si>
  <si>
    <t>Strana SV</t>
  </si>
  <si>
    <t>0.4*(1.2*3)*10</t>
  </si>
  <si>
    <t>0.4*(0.9+1.2*2)*9</t>
  </si>
  <si>
    <t>0.4*(1.5+2.4*2)*2</t>
  </si>
  <si>
    <t>0.4*(1.5+2.6*2)*1</t>
  </si>
  <si>
    <t>pilíře hlavní vstup +výkladce-neuznatelné náklady-nesplnění Und</t>
  </si>
  <si>
    <t>(1*3.6)*8+(0.2*3.6)*4</t>
  </si>
  <si>
    <t>po vybouraných keramických obkladech fasády</t>
  </si>
  <si>
    <t>13.85*0.4</t>
  </si>
  <si>
    <t>13.95*1.9</t>
  </si>
  <si>
    <t>Strana JV</t>
  </si>
  <si>
    <t>16.2*0.4+19.9*1.6</t>
  </si>
  <si>
    <t>22.2*0.5+13.3*0.7-3*0.7+2.6*0.5</t>
  </si>
  <si>
    <t>7*1+7.7*3+6.75*3-2.4*2.4*2+(20+0.375)*1.55+6.175*0.55+16*1.6</t>
  </si>
  <si>
    <t>omítka po ubouraných pilířcích strana JZ</t>
  </si>
  <si>
    <t>0.25*6+0.2*3.6*11</t>
  </si>
  <si>
    <t>sokl</t>
  </si>
  <si>
    <t>1PP strana JV</t>
  </si>
  <si>
    <t>16*1.6-0.9*0.9*8+(0.9*3)*8*0.3</t>
  </si>
  <si>
    <t>13.95*1.9+0.75*1.9-1*0.55</t>
  </si>
  <si>
    <t>54.72*0.3</t>
  </si>
  <si>
    <t>17.9*0.35</t>
  </si>
  <si>
    <t>Strana  SV</t>
  </si>
  <si>
    <t>10*0.45+1.825*0.5+(2.2+2.35+7.5+3+6.9)*1.6+13.2*0.6</t>
  </si>
  <si>
    <t>Strana SV-sokl</t>
  </si>
  <si>
    <t>(6.9+3+7.5+2.35)*0.6</t>
  </si>
  <si>
    <t>Strana JZ -sokl</t>
  </si>
  <si>
    <t>(20+0.375)*1.8</t>
  </si>
  <si>
    <t>Strana  SZ-podhled+čelo římsy  vstupu</t>
  </si>
  <si>
    <t>(0.8+0.1)*13.3</t>
  </si>
  <si>
    <t>SOKL</t>
  </si>
  <si>
    <t>13.3*0.5</t>
  </si>
  <si>
    <t>(22.2+2.6)*0.5</t>
  </si>
  <si>
    <t>(13.85+16.2)*0.5</t>
  </si>
  <si>
    <t>15.8*0.15+13.3*0.15</t>
  </si>
  <si>
    <t>Strana JV tl. 150mm-okna schodiště</t>
  </si>
  <si>
    <t>(0.3*2.4)*2+0.075*2.4</t>
  </si>
  <si>
    <t>Strana JV tl. 125mm-okna štíty</t>
  </si>
  <si>
    <t>(0.65*6.75)*2</t>
  </si>
  <si>
    <t>Strana JV tl. 75mm-mezi okny</t>
  </si>
  <si>
    <t>(2.4*0.5)*4</t>
  </si>
  <si>
    <t>Strana SV tl. 75mm-mezy okny štítu</t>
  </si>
  <si>
    <t>1.7*5.6</t>
  </si>
  <si>
    <t>Strana SZ tl. 145mm</t>
  </si>
  <si>
    <t>0.3*8.5</t>
  </si>
  <si>
    <t>okna 1PP vnitřní a venkovní strana</t>
  </si>
  <si>
    <t>0.9*8*2</t>
  </si>
  <si>
    <t>okapový chodníček</t>
  </si>
  <si>
    <t>beton okapového chodníčku</t>
  </si>
  <si>
    <t>((13.95+0.5)*0.5+(4.7+7.3)*0.5)</t>
  </si>
  <si>
    <t>izolace svislých atikových stěn z vnitřní strany</t>
  </si>
  <si>
    <t>vyšší střecha</t>
  </si>
  <si>
    <t>(13.25+(22.2-0.3-0.3)+2.5+16.2+0.3+2.6+19.9)*0.5</t>
  </si>
  <si>
    <t>vyšší střecha- u dozdění</t>
  </si>
  <si>
    <t>14.2*0.7</t>
  </si>
  <si>
    <t>vyšší střecha-šikmé části</t>
  </si>
  <si>
    <t>7.1*0.3+7.5*1.2+6.1*0.7</t>
  </si>
  <si>
    <t>spoj. krček</t>
  </si>
  <si>
    <t>7*0.45+2.5*1.6+5.7*1</t>
  </si>
  <si>
    <t>nižší střecha</t>
  </si>
  <si>
    <t>(15.95+22.75*2)*0.4</t>
  </si>
  <si>
    <t>nižší střecha u dozdění</t>
  </si>
  <si>
    <t>16.2*0.7</t>
  </si>
  <si>
    <t>nižší střecha-půltová</t>
  </si>
  <si>
    <t>((17.9-0.3*2)+(9.95-0.3))*0.4</t>
  </si>
  <si>
    <t>0.9*8</t>
  </si>
  <si>
    <t>6*2.4+13.7+16.5</t>
  </si>
  <si>
    <t>stávající sokl-zateplení XPS</t>
  </si>
  <si>
    <t>17.9+10+1.825+3.4+13.2+6.9+3+7.5+2.35+2.2</t>
  </si>
  <si>
    <t>fasáda</t>
  </si>
  <si>
    <t>na vlajky. plech. skříň. schránka</t>
  </si>
  <si>
    <t>parapet bočních dveří</t>
  </si>
  <si>
    <t>0.3+0.2*(1.8)</t>
  </si>
  <si>
    <t>dvířka el. rozvaděče</t>
  </si>
  <si>
    <t>1*0.55</t>
  </si>
  <si>
    <t>0.55</t>
  </si>
  <si>
    <t>u okapového chodníčku</t>
  </si>
  <si>
    <t>13.95+0.5+4.7+7.3+3+7+22.2+13.85+16.2+0.5+26.5+0.5+5</t>
  </si>
  <si>
    <t>((13.95+0.5)*0.5+(4.7+7.3)*0.5)*0.07</t>
  </si>
  <si>
    <t>beton zpevněné plochy ozn.6</t>
  </si>
  <si>
    <t>3*3*0.1</t>
  </si>
  <si>
    <t>beton podkladu zpev. plochy s chlumč. pásky ozn 3</t>
  </si>
  <si>
    <t>soklíky</t>
  </si>
  <si>
    <t>(3.6+3+3+5.5)*0.15</t>
  </si>
  <si>
    <t>dlažba z chlumč. pásků ozn 3</t>
  </si>
  <si>
    <t>3*3</t>
  </si>
  <si>
    <t>0.9*0.9*8</t>
  </si>
  <si>
    <t>krček-cihelné pilířky</t>
  </si>
  <si>
    <t>(0.25*0.125*3.6)*6</t>
  </si>
  <si>
    <t>1*1.6</t>
  </si>
  <si>
    <t>(13.95+0.4)*1.9</t>
  </si>
  <si>
    <t>7*1-0.9*1+7.7*3-1.8*1.5+6.76*3+(2.4*1.5)*2+(20+0.375)*1.55+6.175*0.55*16*1.6</t>
  </si>
  <si>
    <t>-(0.9*0.9)*8+(0.9*4)*8*0.3</t>
  </si>
  <si>
    <t>22.2*0.4+2.6*0.4+13.3*0.7-3*0.7+(0.75*0.7)*8</t>
  </si>
  <si>
    <t>7*55.5</t>
  </si>
  <si>
    <t>55.5</t>
  </si>
  <si>
    <t>10*32.81</t>
  </si>
  <si>
    <t>123.07</t>
  </si>
  <si>
    <t>prořez</t>
  </si>
  <si>
    <t>123.07*0.1</t>
  </si>
  <si>
    <t>svislé části střechy</t>
  </si>
  <si>
    <t>123.07*1.1</t>
  </si>
  <si>
    <t>izoace pod atikovým plechem</t>
  </si>
  <si>
    <t>(36.1+2.5+13.95+19.9+2.3+16.2+13.85+7+16.45+23*2+9.95*2+17.9)*0.4</t>
  </si>
  <si>
    <t>Krycí list rozpočtu</t>
  </si>
  <si>
    <t>Rozpočtové náklady v Kč</t>
  </si>
  <si>
    <t>A</t>
  </si>
  <si>
    <t>HSV</t>
  </si>
  <si>
    <t>PSV</t>
  </si>
  <si>
    <t>"M"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</si>
  <si>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</si>
  <si>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</si>
  <si>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</si>
  <si>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</si>
  <si>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</si>
  <si>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</si>
  <si>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</si>
  <si>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</si>
  <si>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</si>
  <si>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B</t>
  </si>
  <si>
    <t>Práce přesčas</t>
  </si>
  <si>
    <t>Bez pevné podl.</t>
  </si>
  <si>
    <t>Kulturní památka</t>
  </si>
  <si>
    <t>DN celkem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</si>
  <si>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</si>
  <si>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</si>
  <si>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</si>
  <si>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</si>
  <si>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</si>
  <si>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</si>
  <si>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</si>
  <si>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</si>
  <si>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</si>
  <si>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</si>
  <si>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</si>
  <si>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</si>
  <si>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</si>
  <si>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</si>
  <si>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</si>
  <si>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</si>
  <si>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</si>
  <si>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</si>
  <si>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</si>
  <si>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295841/CZ00295841</t>
  </si>
  <si>
    <t>45646597/</t>
  </si>
  <si>
    <t>VRN -mimostaveništní doprava 2%</t>
  </si>
  <si>
    <t>SOUČET</t>
  </si>
  <si>
    <t>Zateplovací systém- PIR  tl. 60mm (lambda=0,021W/mk), vč. APU lišt a rohových profilů</t>
  </si>
  <si>
    <t>Omítka + lepidlo+síťovina + mozaiková omítka</t>
  </si>
  <si>
    <t>Stávající zateplení soklu oprava, penetrace + mozaiková omítka</t>
  </si>
  <si>
    <t>Stávající zateplení soklu - penetrace + mozaiková omítka</t>
  </si>
  <si>
    <t>Zatepl. systém  XPS  tl. 100 mm-extrudovaný  polystyrén +mozaiková omítka</t>
  </si>
  <si>
    <t>Zatepl. systém   XPS tl. 120mm-extrudovaný polystyrén +mozaiková omítka</t>
  </si>
  <si>
    <t>Strana SV tl. 75mm-mezi okny štítu</t>
  </si>
  <si>
    <t>Oplechování parapetů včetně rohů  popl. plech tl. 0,6, rš 520 mm 1/K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</si>
</sst>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46">
    <font>
      <sz val="10"/>
      <name val="Arial"/>
      <family val="0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sz val="24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medium"/>
      <right/>
      <top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1" fillId="20" borderId="0" applyNumberFormat="0" applyBorder="0" applyAlignment="0" applyProtection="0"/>
    <xf numFmtId="0" fontId="32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18">
    <xf numFmtId="0" fontId="1" fillId="0" borderId="0" xfId="0" applyFont="1" applyAlignment="1">
      <alignment vertical="center"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3" fillId="33" borderId="0" xfId="0" applyNumberFormat="1" applyFont="1" applyFill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3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49" fontId="5" fillId="0" borderId="14" xfId="0" applyNumberFormat="1" applyFont="1" applyFill="1" applyBorder="1" applyAlignment="1" applyProtection="1">
      <alignment horizontal="left" vertical="center"/>
      <protection/>
    </xf>
    <xf numFmtId="49" fontId="6" fillId="0" borderId="15" xfId="0" applyNumberFormat="1" applyFont="1" applyFill="1" applyBorder="1" applyAlignment="1" applyProtection="1">
      <alignment horizontal="center" vertical="center"/>
      <protection/>
    </xf>
    <xf numFmtId="49" fontId="6" fillId="0" borderId="16" xfId="0" applyNumberFormat="1" applyFont="1" applyFill="1" applyBorder="1" applyAlignment="1" applyProtection="1">
      <alignment horizontal="left" vertical="center"/>
      <protection/>
    </xf>
    <xf numFmtId="49" fontId="6" fillId="0" borderId="17" xfId="0" applyNumberFormat="1" applyFont="1" applyFill="1" applyBorder="1" applyAlignment="1" applyProtection="1">
      <alignment horizontal="left" vertical="center"/>
      <protection/>
    </xf>
    <xf numFmtId="49" fontId="6" fillId="0" borderId="17" xfId="0" applyNumberFormat="1" applyFont="1" applyFill="1" applyBorder="1" applyAlignment="1" applyProtection="1">
      <alignment horizontal="center" vertical="center"/>
      <protection/>
    </xf>
    <xf numFmtId="49" fontId="6" fillId="0" borderId="18" xfId="0" applyNumberFormat="1" applyFont="1" applyFill="1" applyBorder="1" applyAlignment="1" applyProtection="1">
      <alignment horizontal="right" vertical="center"/>
      <protection/>
    </xf>
    <xf numFmtId="49" fontId="6" fillId="0" borderId="19" xfId="0" applyNumberFormat="1" applyFont="1" applyFill="1" applyBorder="1" applyAlignment="1" applyProtection="1">
      <alignment horizontal="center" vertical="center"/>
      <protection/>
    </xf>
    <xf numFmtId="49" fontId="6" fillId="0" borderId="20" xfId="0" applyNumberFormat="1" applyFont="1" applyFill="1" applyBorder="1" applyAlignment="1" applyProtection="1">
      <alignment horizontal="center" vertical="center"/>
      <protection/>
    </xf>
    <xf numFmtId="49" fontId="6" fillId="0" borderId="21" xfId="0" applyNumberFormat="1" applyFont="1" applyFill="1" applyBorder="1" applyAlignment="1" applyProtection="1">
      <alignment horizontal="center" vertical="center"/>
      <protection/>
    </xf>
    <xf numFmtId="49" fontId="5" fillId="33" borderId="12" xfId="0" applyNumberFormat="1" applyFont="1" applyFill="1" applyBorder="1" applyAlignment="1" applyProtection="1">
      <alignment horizontal="left" vertical="center"/>
      <protection/>
    </xf>
    <xf numFmtId="49" fontId="6" fillId="33" borderId="12" xfId="0" applyNumberFormat="1" applyFont="1" applyFill="1" applyBorder="1" applyAlignment="1" applyProtection="1">
      <alignment horizontal="left" vertical="center"/>
      <protection/>
    </xf>
    <xf numFmtId="4" fontId="6" fillId="33" borderId="12" xfId="0" applyNumberFormat="1" applyFont="1" applyFill="1" applyBorder="1" applyAlignment="1" applyProtection="1">
      <alignment horizontal="right" vertical="center"/>
      <protection/>
    </xf>
    <xf numFmtId="49" fontId="6" fillId="33" borderId="12" xfId="0" applyNumberFormat="1" applyFont="1" applyFill="1" applyBorder="1" applyAlignment="1" applyProtection="1">
      <alignment horizontal="right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9" fontId="5" fillId="33" borderId="0" xfId="0" applyNumberFormat="1" applyFont="1" applyFill="1" applyBorder="1" applyAlignment="1" applyProtection="1">
      <alignment horizontal="left" vertical="center"/>
      <protection/>
    </xf>
    <xf numFmtId="49" fontId="6" fillId="33" borderId="0" xfId="0" applyNumberFormat="1" applyFont="1" applyFill="1" applyBorder="1" applyAlignment="1" applyProtection="1">
      <alignment horizontal="left" vertical="center"/>
      <protection/>
    </xf>
    <xf numFmtId="4" fontId="6" fillId="33" borderId="0" xfId="0" applyNumberFormat="1" applyFont="1" applyFill="1" applyBorder="1" applyAlignment="1" applyProtection="1">
      <alignment horizontal="right" vertical="center"/>
      <protection/>
    </xf>
    <xf numFmtId="49" fontId="6" fillId="33" borderId="0" xfId="0" applyNumberFormat="1" applyFont="1" applyFill="1" applyBorder="1" applyAlignment="1" applyProtection="1">
      <alignment horizontal="right" vertical="center"/>
      <protection/>
    </xf>
    <xf numFmtId="49" fontId="5" fillId="0" borderId="22" xfId="0" applyNumberFormat="1" applyFont="1" applyFill="1" applyBorder="1" applyAlignment="1" applyProtection="1">
      <alignment horizontal="left" vertical="center"/>
      <protection/>
    </xf>
    <xf numFmtId="4" fontId="5" fillId="0" borderId="22" xfId="0" applyNumberFormat="1" applyFont="1" applyFill="1" applyBorder="1" applyAlignment="1" applyProtection="1">
      <alignment horizontal="right" vertical="center"/>
      <protection/>
    </xf>
    <xf numFmtId="0" fontId="5" fillId="0" borderId="23" xfId="0" applyNumberFormat="1" applyFont="1" applyFill="1" applyBorder="1" applyAlignment="1" applyProtection="1">
      <alignment vertical="center"/>
      <protection/>
    </xf>
    <xf numFmtId="4" fontId="6" fillId="0" borderId="23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 vertical="center"/>
    </xf>
    <xf numFmtId="49" fontId="5" fillId="0" borderId="0" xfId="0" applyNumberFormat="1" applyFont="1" applyFill="1" applyBorder="1" applyAlignment="1" applyProtection="1">
      <alignment horizontal="left" vertical="center" wrapText="1"/>
      <protection/>
    </xf>
    <xf numFmtId="49" fontId="8" fillId="33" borderId="24" xfId="0" applyNumberFormat="1" applyFont="1" applyFill="1" applyBorder="1" applyAlignment="1" applyProtection="1">
      <alignment horizontal="center" vertical="center"/>
      <protection/>
    </xf>
    <xf numFmtId="49" fontId="8" fillId="0" borderId="25" xfId="0" applyNumberFormat="1" applyFont="1" applyFill="1" applyBorder="1" applyAlignment="1" applyProtection="1">
      <alignment horizontal="left" vertical="center"/>
      <protection/>
    </xf>
    <xf numFmtId="49" fontId="7" fillId="0" borderId="24" xfId="0" applyNumberFormat="1" applyFont="1" applyFill="1" applyBorder="1" applyAlignment="1" applyProtection="1">
      <alignment horizontal="left" vertical="center"/>
      <protection/>
    </xf>
    <xf numFmtId="4" fontId="7" fillId="0" borderId="24" xfId="0" applyNumberFormat="1" applyFont="1" applyFill="1" applyBorder="1" applyAlignment="1" applyProtection="1">
      <alignment horizontal="right" vertical="center"/>
      <protection/>
    </xf>
    <xf numFmtId="49" fontId="8" fillId="0" borderId="26" xfId="0" applyNumberFormat="1" applyFont="1" applyFill="1" applyBorder="1" applyAlignment="1" applyProtection="1">
      <alignment horizontal="left" vertical="center"/>
      <protection/>
    </xf>
    <xf numFmtId="49" fontId="7" fillId="0" borderId="24" xfId="0" applyNumberFormat="1" applyFont="1" applyFill="1" applyBorder="1" applyAlignment="1" applyProtection="1">
      <alignment horizontal="right" vertical="center"/>
      <protection/>
    </xf>
    <xf numFmtId="0" fontId="7" fillId="0" borderId="27" xfId="0" applyNumberFormat="1" applyFont="1" applyFill="1" applyBorder="1" applyAlignment="1" applyProtection="1">
      <alignment vertical="center"/>
      <protection/>
    </xf>
    <xf numFmtId="0" fontId="7" fillId="0" borderId="23" xfId="0" applyNumberFormat="1" applyFont="1" applyFill="1" applyBorder="1" applyAlignment="1" applyProtection="1">
      <alignment vertical="center"/>
      <protection/>
    </xf>
    <xf numFmtId="4" fontId="8" fillId="33" borderId="28" xfId="0" applyNumberFormat="1" applyFont="1" applyFill="1" applyBorder="1" applyAlignment="1" applyProtection="1">
      <alignment horizontal="right" vertical="center"/>
      <protection/>
    </xf>
    <xf numFmtId="0" fontId="7" fillId="0" borderId="29" xfId="0" applyNumberFormat="1" applyFont="1" applyFill="1" applyBorder="1" applyAlignment="1" applyProtection="1">
      <alignment vertical="center"/>
      <protection/>
    </xf>
    <xf numFmtId="0" fontId="7" fillId="0" borderId="22" xfId="0" applyNumberFormat="1" applyFont="1" applyFill="1" applyBorder="1" applyAlignment="1" applyProtection="1">
      <alignment vertical="center"/>
      <protection/>
    </xf>
    <xf numFmtId="0" fontId="7" fillId="0" borderId="30" xfId="0" applyNumberFormat="1" applyFont="1" applyFill="1" applyBorder="1" applyAlignment="1" applyProtection="1">
      <alignment vertical="center"/>
      <protection/>
    </xf>
    <xf numFmtId="49" fontId="6" fillId="0" borderId="31" xfId="0" applyNumberFormat="1" applyFont="1" applyFill="1" applyBorder="1" applyAlignment="1" applyProtection="1">
      <alignment horizontal="left" vertical="center"/>
      <protection/>
    </xf>
    <xf numFmtId="49" fontId="6" fillId="0" borderId="32" xfId="0" applyNumberFormat="1" applyFont="1" applyFill="1" applyBorder="1" applyAlignment="1" applyProtection="1">
      <alignment horizontal="left" vertical="center"/>
      <protection/>
    </xf>
    <xf numFmtId="49" fontId="6" fillId="0" borderId="33" xfId="0" applyNumberFormat="1" applyFont="1" applyFill="1" applyBorder="1" applyAlignment="1" applyProtection="1">
      <alignment horizontal="right" vertical="center"/>
      <protection/>
    </xf>
    <xf numFmtId="49" fontId="5" fillId="0" borderId="12" xfId="0" applyNumberFormat="1" applyFont="1" applyFill="1" applyBorder="1" applyAlignment="1" applyProtection="1">
      <alignment horizontal="left" vertical="center"/>
      <protection/>
    </xf>
    <xf numFmtId="4" fontId="5" fillId="0" borderId="12" xfId="0" applyNumberFormat="1" applyFont="1" applyFill="1" applyBorder="1" applyAlignment="1" applyProtection="1">
      <alignment horizontal="right" vertical="center"/>
      <protection/>
    </xf>
    <xf numFmtId="49" fontId="45" fillId="0" borderId="12" xfId="0" applyNumberFormat="1" applyFont="1" applyFill="1" applyBorder="1" applyAlignment="1" applyProtection="1">
      <alignment horizontal="left" vertical="center"/>
      <protection/>
    </xf>
    <xf numFmtId="49" fontId="45" fillId="0" borderId="0" xfId="0" applyNumberFormat="1" applyFont="1" applyFill="1" applyBorder="1" applyAlignment="1" applyProtection="1">
      <alignment horizontal="left" vertical="center"/>
      <protection/>
    </xf>
    <xf numFmtId="4" fontId="9" fillId="0" borderId="0" xfId="0" applyNumberFormat="1" applyFont="1" applyAlignment="1">
      <alignment vertical="center"/>
    </xf>
    <xf numFmtId="49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5" fillId="0" borderId="34" xfId="0" applyNumberFormat="1" applyFont="1" applyFill="1" applyBorder="1" applyAlignment="1" applyProtection="1">
      <alignment horizontal="left" vertical="center"/>
      <protection/>
    </xf>
    <xf numFmtId="0" fontId="5" fillId="0" borderId="23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35" xfId="0" applyNumberFormat="1" applyFont="1" applyFill="1" applyBorder="1" applyAlignment="1" applyProtection="1">
      <alignment horizontal="left" vertical="center"/>
      <protection/>
    </xf>
    <xf numFmtId="0" fontId="5" fillId="0" borderId="36" xfId="0" applyNumberFormat="1" applyFont="1" applyFill="1" applyBorder="1" applyAlignment="1" applyProtection="1">
      <alignment horizontal="left" vertical="center"/>
      <protection/>
    </xf>
    <xf numFmtId="49" fontId="6" fillId="0" borderId="23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6" fillId="34" borderId="0" xfId="0" applyNumberFormat="1" applyFont="1" applyFill="1" applyBorder="1" applyAlignment="1" applyProtection="1">
      <alignment horizontal="left" vertical="center"/>
      <protection/>
    </xf>
    <xf numFmtId="0" fontId="6" fillId="34" borderId="0" xfId="0" applyNumberFormat="1" applyFont="1" applyFill="1" applyBorder="1" applyAlignment="1" applyProtection="1">
      <alignment horizontal="left" vertical="center"/>
      <protection/>
    </xf>
    <xf numFmtId="49" fontId="5" fillId="0" borderId="23" xfId="0" applyNumberFormat="1" applyFont="1" applyFill="1" applyBorder="1" applyAlignment="1" applyProtection="1">
      <alignment horizontal="left" vertical="center"/>
      <protection/>
    </xf>
    <xf numFmtId="14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37" xfId="0" applyNumberFormat="1" applyFont="1" applyFill="1" applyBorder="1" applyAlignment="1" applyProtection="1">
      <alignment horizontal="left" vertical="center"/>
      <protection/>
    </xf>
    <xf numFmtId="0" fontId="5" fillId="0" borderId="38" xfId="0" applyNumberFormat="1" applyFont="1" applyFill="1" applyBorder="1" applyAlignment="1" applyProtection="1">
      <alignment horizontal="left" vertical="center"/>
      <protection/>
    </xf>
    <xf numFmtId="0" fontId="5" fillId="0" borderId="39" xfId="0" applyNumberFormat="1" applyFont="1" applyFill="1" applyBorder="1" applyAlignment="1" applyProtection="1">
      <alignment horizontal="left" vertical="center"/>
      <protection/>
    </xf>
    <xf numFmtId="49" fontId="6" fillId="0" borderId="40" xfId="0" applyNumberFormat="1" applyFont="1" applyFill="1" applyBorder="1" applyAlignment="1" applyProtection="1">
      <alignment horizontal="center" vertical="center"/>
      <protection/>
    </xf>
    <xf numFmtId="0" fontId="6" fillId="0" borderId="41" xfId="0" applyNumberFormat="1" applyFont="1" applyFill="1" applyBorder="1" applyAlignment="1" applyProtection="1">
      <alignment horizontal="center" vertical="center"/>
      <protection/>
    </xf>
    <xf numFmtId="0" fontId="6" fillId="0" borderId="42" xfId="0" applyNumberFormat="1" applyFont="1" applyFill="1" applyBorder="1" applyAlignment="1" applyProtection="1">
      <alignment horizontal="center" vertical="center"/>
      <protection/>
    </xf>
    <xf numFmtId="49" fontId="6" fillId="33" borderId="12" xfId="0" applyNumberFormat="1" applyFont="1" applyFill="1" applyBorder="1" applyAlignment="1" applyProtection="1">
      <alignment horizontal="left" vertical="center"/>
      <protection/>
    </xf>
    <xf numFmtId="0" fontId="6" fillId="33" borderId="12" xfId="0" applyNumberFormat="1" applyFont="1" applyFill="1" applyBorder="1" applyAlignment="1" applyProtection="1">
      <alignment horizontal="left" vertical="center"/>
      <protection/>
    </xf>
    <xf numFmtId="49" fontId="6" fillId="33" borderId="0" xfId="0" applyNumberFormat="1" applyFont="1" applyFill="1" applyBorder="1" applyAlignment="1" applyProtection="1">
      <alignment horizontal="left" vertical="center"/>
      <protection/>
    </xf>
    <xf numFmtId="0" fontId="6" fillId="33" borderId="0" xfId="0" applyNumberFormat="1" applyFont="1" applyFill="1" applyBorder="1" applyAlignment="1" applyProtection="1">
      <alignment horizontal="left" vertical="center"/>
      <protection/>
    </xf>
    <xf numFmtId="0" fontId="6" fillId="0" borderId="23" xfId="0" applyNumberFormat="1" applyFont="1" applyFill="1" applyBorder="1" applyAlignment="1" applyProtection="1">
      <alignment horizontal="left" vertical="center"/>
      <protection/>
    </xf>
    <xf numFmtId="49" fontId="4" fillId="0" borderId="22" xfId="0" applyNumberFormat="1" applyFont="1" applyFill="1" applyBorder="1" applyAlignment="1" applyProtection="1">
      <alignment horizontal="center" vertical="center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49" fontId="7" fillId="0" borderId="34" xfId="0" applyNumberFormat="1" applyFont="1" applyFill="1" applyBorder="1" applyAlignment="1" applyProtection="1">
      <alignment horizontal="left" vertical="center"/>
      <protection/>
    </xf>
    <xf numFmtId="0" fontId="7" fillId="0" borderId="23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29" xfId="0" applyNumberFormat="1" applyFont="1" applyFill="1" applyBorder="1" applyAlignment="1" applyProtection="1">
      <alignment horizontal="left" vertical="center"/>
      <protection/>
    </xf>
    <xf numFmtId="0" fontId="7" fillId="0" borderId="22" xfId="0" applyNumberFormat="1" applyFont="1" applyFill="1" applyBorder="1" applyAlignment="1" applyProtection="1">
      <alignment horizontal="left" vertical="center"/>
      <protection/>
    </xf>
    <xf numFmtId="49" fontId="8" fillId="0" borderId="23" xfId="0" applyNumberFormat="1" applyFont="1" applyFill="1" applyBorder="1" applyAlignment="1" applyProtection="1">
      <alignment horizontal="left" vertical="center"/>
      <protection/>
    </xf>
    <xf numFmtId="0" fontId="8" fillId="0" borderId="23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14" fontId="7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23" xfId="0" applyNumberFormat="1" applyFont="1" applyFill="1" applyBorder="1" applyAlignment="1" applyProtection="1">
      <alignment horizontal="left" vertical="center"/>
      <protection/>
    </xf>
    <xf numFmtId="49" fontId="7" fillId="0" borderId="43" xfId="0" applyNumberFormat="1" applyFont="1" applyFill="1" applyBorder="1" applyAlignment="1" applyProtection="1">
      <alignment horizontal="left" vertical="center"/>
      <protection/>
    </xf>
    <xf numFmtId="0" fontId="7" fillId="0" borderId="28" xfId="0" applyNumberFormat="1" applyFont="1" applyFill="1" applyBorder="1" applyAlignment="1" applyProtection="1">
      <alignment horizontal="left" vertical="center"/>
      <protection/>
    </xf>
    <xf numFmtId="49" fontId="7" fillId="0" borderId="37" xfId="0" applyNumberFormat="1" applyFont="1" applyFill="1" applyBorder="1" applyAlignment="1" applyProtection="1">
      <alignment horizontal="left" vertical="center"/>
      <protection/>
    </xf>
    <xf numFmtId="0" fontId="7" fillId="0" borderId="38" xfId="0" applyNumberFormat="1" applyFont="1" applyFill="1" applyBorder="1" applyAlignment="1" applyProtection="1">
      <alignment horizontal="left" vertical="center"/>
      <protection/>
    </xf>
    <xf numFmtId="49" fontId="7" fillId="0" borderId="38" xfId="0" applyNumberFormat="1" applyFont="1" applyFill="1" applyBorder="1" applyAlignment="1" applyProtection="1">
      <alignment horizontal="left" vertical="center"/>
      <protection/>
    </xf>
    <xf numFmtId="14" fontId="7" fillId="0" borderId="38" xfId="0" applyNumberFormat="1" applyFont="1" applyFill="1" applyBorder="1" applyAlignment="1" applyProtection="1">
      <alignment horizontal="left" vertical="center"/>
      <protection/>
    </xf>
    <xf numFmtId="0" fontId="7" fillId="0" borderId="44" xfId="0" applyNumberFormat="1" applyFont="1" applyFill="1" applyBorder="1" applyAlignment="1" applyProtection="1">
      <alignment horizontal="left" vertical="center"/>
      <protection/>
    </xf>
    <xf numFmtId="49" fontId="8" fillId="0" borderId="27" xfId="0" applyNumberFormat="1" applyFont="1" applyFill="1" applyBorder="1" applyAlignment="1" applyProtection="1">
      <alignment horizontal="center" vertical="center"/>
      <protection/>
    </xf>
    <xf numFmtId="0" fontId="8" fillId="0" borderId="27" xfId="0" applyNumberFormat="1" applyFont="1" applyFill="1" applyBorder="1" applyAlignment="1" applyProtection="1">
      <alignment horizontal="center" vertical="center"/>
      <protection/>
    </xf>
    <xf numFmtId="49" fontId="8" fillId="0" borderId="43" xfId="0" applyNumberFormat="1" applyFont="1" applyFill="1" applyBorder="1" applyAlignment="1" applyProtection="1">
      <alignment horizontal="left" vertical="center"/>
      <protection/>
    </xf>
    <xf numFmtId="0" fontId="8" fillId="0" borderId="28" xfId="0" applyNumberFormat="1" applyFont="1" applyFill="1" applyBorder="1" applyAlignment="1" applyProtection="1">
      <alignment horizontal="left" vertical="center"/>
      <protection/>
    </xf>
    <xf numFmtId="49" fontId="8" fillId="33" borderId="43" xfId="0" applyNumberFormat="1" applyFont="1" applyFill="1" applyBorder="1" applyAlignment="1" applyProtection="1">
      <alignment horizontal="left" vertical="center"/>
      <protection/>
    </xf>
    <xf numFmtId="0" fontId="8" fillId="33" borderId="27" xfId="0" applyNumberFormat="1" applyFont="1" applyFill="1" applyBorder="1" applyAlignment="1" applyProtection="1">
      <alignment horizontal="left" vertical="center"/>
      <protection/>
    </xf>
    <xf numFmtId="49" fontId="7" fillId="0" borderId="45" xfId="0" applyNumberFormat="1" applyFont="1" applyFill="1" applyBorder="1" applyAlignment="1" applyProtection="1">
      <alignment horizontal="left" vertical="center"/>
      <protection/>
    </xf>
    <xf numFmtId="0" fontId="7" fillId="0" borderId="12" xfId="0" applyNumberFormat="1" applyFont="1" applyFill="1" applyBorder="1" applyAlignment="1" applyProtection="1">
      <alignment horizontal="left" vertical="center"/>
      <protection/>
    </xf>
    <xf numFmtId="0" fontId="7" fillId="0" borderId="46" xfId="0" applyNumberFormat="1" applyFont="1" applyFill="1" applyBorder="1" applyAlignment="1" applyProtection="1">
      <alignment horizontal="left" vertical="center"/>
      <protection/>
    </xf>
    <xf numFmtId="49" fontId="7" fillId="0" borderId="11" xfId="0" applyNumberFormat="1" applyFont="1" applyFill="1" applyBorder="1" applyAlignment="1" applyProtection="1">
      <alignment horizontal="left" vertical="center"/>
      <protection/>
    </xf>
    <xf numFmtId="0" fontId="7" fillId="0" borderId="47" xfId="0" applyNumberFormat="1" applyFont="1" applyFill="1" applyBorder="1" applyAlignment="1" applyProtection="1">
      <alignment horizontal="left" vertical="center"/>
      <protection/>
    </xf>
    <xf numFmtId="49" fontId="7" fillId="0" borderId="48" xfId="0" applyNumberFormat="1" applyFont="1" applyFill="1" applyBorder="1" applyAlignment="1" applyProtection="1">
      <alignment horizontal="left" vertical="center"/>
      <protection/>
    </xf>
    <xf numFmtId="0" fontId="7" fillId="0" borderId="36" xfId="0" applyNumberFormat="1" applyFont="1" applyFill="1" applyBorder="1" applyAlignment="1" applyProtection="1">
      <alignment horizontal="left" vertical="center"/>
      <protection/>
    </xf>
    <xf numFmtId="0" fontId="7" fillId="0" borderId="49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57"/>
  <sheetViews>
    <sheetView tabSelected="1" zoomScalePageLayoutView="0" workbookViewId="0" topLeftCell="B192">
      <selection activeCell="E240" sqref="E240"/>
    </sheetView>
  </sheetViews>
  <sheetFormatPr defaultColWidth="11.421875" defaultRowHeight="12.75"/>
  <cols>
    <col min="1" max="1" width="3.7109375" style="0" customWidth="1"/>
    <col min="2" max="2" width="13.28125" style="0" customWidth="1"/>
    <col min="3" max="3" width="57.421875" style="0" customWidth="1"/>
    <col min="4" max="4" width="5.28125" style="0" bestFit="1" customWidth="1"/>
    <col min="5" max="5" width="10.8515625" style="0" customWidth="1"/>
    <col min="6" max="9" width="8.7109375" style="0" bestFit="1" customWidth="1"/>
    <col min="10" max="10" width="6.8515625" style="0" bestFit="1" customWidth="1"/>
    <col min="11" max="11" width="7.140625" style="0" bestFit="1" customWidth="1"/>
    <col min="12" max="13" width="11.421875" style="0" customWidth="1"/>
    <col min="14" max="37" width="12.140625" style="0" hidden="1" customWidth="1"/>
  </cols>
  <sheetData>
    <row r="1" spans="1:11" ht="21.75" customHeight="1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2" ht="12.75">
      <c r="A2" s="57" t="s">
        <v>1</v>
      </c>
      <c r="B2" s="58"/>
      <c r="C2" s="64" t="s">
        <v>133</v>
      </c>
      <c r="D2" s="69" t="s">
        <v>218</v>
      </c>
      <c r="E2" s="58"/>
      <c r="F2" s="69"/>
      <c r="G2" s="58"/>
      <c r="H2" s="69" t="s">
        <v>237</v>
      </c>
      <c r="I2" s="69" t="s">
        <v>242</v>
      </c>
      <c r="J2" s="58"/>
      <c r="K2" s="71"/>
      <c r="L2" s="3"/>
    </row>
    <row r="3" spans="1:12" ht="12.75">
      <c r="A3" s="59"/>
      <c r="B3" s="60"/>
      <c r="C3" s="65"/>
      <c r="D3" s="60"/>
      <c r="E3" s="60"/>
      <c r="F3" s="60"/>
      <c r="G3" s="60"/>
      <c r="H3" s="60"/>
      <c r="I3" s="60"/>
      <c r="J3" s="60"/>
      <c r="K3" s="72"/>
      <c r="L3" s="3"/>
    </row>
    <row r="4" spans="1:12" ht="12.75">
      <c r="A4" s="61" t="s">
        <v>2</v>
      </c>
      <c r="B4" s="60"/>
      <c r="C4" s="66" t="s">
        <v>134</v>
      </c>
      <c r="D4" s="66" t="s">
        <v>219</v>
      </c>
      <c r="E4" s="60"/>
      <c r="F4" s="70"/>
      <c r="G4" s="60"/>
      <c r="H4" s="66" t="s">
        <v>238</v>
      </c>
      <c r="I4" s="66" t="s">
        <v>243</v>
      </c>
      <c r="J4" s="60"/>
      <c r="K4" s="72"/>
      <c r="L4" s="3"/>
    </row>
    <row r="5" spans="1:12" ht="12.75">
      <c r="A5" s="59"/>
      <c r="B5" s="60"/>
      <c r="C5" s="60"/>
      <c r="D5" s="60"/>
      <c r="E5" s="60"/>
      <c r="F5" s="60"/>
      <c r="G5" s="60"/>
      <c r="H5" s="60"/>
      <c r="I5" s="60"/>
      <c r="J5" s="60"/>
      <c r="K5" s="72"/>
      <c r="L5" s="3"/>
    </row>
    <row r="6" spans="1:12" ht="12.75">
      <c r="A6" s="61" t="s">
        <v>3</v>
      </c>
      <c r="B6" s="60"/>
      <c r="C6" s="67" t="s">
        <v>135</v>
      </c>
      <c r="D6" s="66" t="s">
        <v>220</v>
      </c>
      <c r="E6" s="60"/>
      <c r="F6" s="60"/>
      <c r="G6" s="60"/>
      <c r="H6" s="66" t="s">
        <v>239</v>
      </c>
      <c r="I6" s="66"/>
      <c r="J6" s="60"/>
      <c r="K6" s="72"/>
      <c r="L6" s="3"/>
    </row>
    <row r="7" spans="1:12" ht="12.75">
      <c r="A7" s="59"/>
      <c r="B7" s="60"/>
      <c r="C7" s="68"/>
      <c r="D7" s="60"/>
      <c r="E7" s="60"/>
      <c r="F7" s="60"/>
      <c r="G7" s="60"/>
      <c r="H7" s="60"/>
      <c r="I7" s="60"/>
      <c r="J7" s="60"/>
      <c r="K7" s="72"/>
      <c r="L7" s="3"/>
    </row>
    <row r="8" spans="1:12" ht="12.75">
      <c r="A8" s="61" t="s">
        <v>4</v>
      </c>
      <c r="B8" s="60"/>
      <c r="C8" s="66"/>
      <c r="D8" s="66" t="s">
        <v>221</v>
      </c>
      <c r="E8" s="60"/>
      <c r="F8" s="70"/>
      <c r="G8" s="60"/>
      <c r="H8" s="66" t="s">
        <v>240</v>
      </c>
      <c r="I8" s="66"/>
      <c r="J8" s="60"/>
      <c r="K8" s="72"/>
      <c r="L8" s="3"/>
    </row>
    <row r="9" spans="1:12" ht="12.75">
      <c r="A9" s="62"/>
      <c r="B9" s="63"/>
      <c r="C9" s="63"/>
      <c r="D9" s="63"/>
      <c r="E9" s="63"/>
      <c r="F9" s="63"/>
      <c r="G9" s="63"/>
      <c r="H9" s="63"/>
      <c r="I9" s="63"/>
      <c r="J9" s="63"/>
      <c r="K9" s="73"/>
      <c r="L9" s="3"/>
    </row>
    <row r="10" spans="1:12" ht="12.75">
      <c r="A10" s="10" t="s">
        <v>5</v>
      </c>
      <c r="B10" s="11" t="s">
        <v>5</v>
      </c>
      <c r="C10" s="11" t="s">
        <v>5</v>
      </c>
      <c r="D10" s="11" t="s">
        <v>5</v>
      </c>
      <c r="E10" s="11" t="s">
        <v>5</v>
      </c>
      <c r="F10" s="12" t="s">
        <v>232</v>
      </c>
      <c r="G10" s="74" t="s">
        <v>234</v>
      </c>
      <c r="H10" s="75"/>
      <c r="I10" s="76"/>
      <c r="J10" s="74" t="s">
        <v>245</v>
      </c>
      <c r="K10" s="76"/>
      <c r="L10" s="4"/>
    </row>
    <row r="11" spans="1:24" ht="12.75">
      <c r="A11" s="13" t="s">
        <v>6</v>
      </c>
      <c r="B11" s="14" t="s">
        <v>67</v>
      </c>
      <c r="C11" s="14" t="s">
        <v>136</v>
      </c>
      <c r="D11" s="14" t="s">
        <v>222</v>
      </c>
      <c r="E11" s="15" t="s">
        <v>231</v>
      </c>
      <c r="F11" s="16" t="s">
        <v>233</v>
      </c>
      <c r="G11" s="17" t="s">
        <v>235</v>
      </c>
      <c r="H11" s="18" t="s">
        <v>241</v>
      </c>
      <c r="I11" s="19" t="s">
        <v>244</v>
      </c>
      <c r="J11" s="17" t="s">
        <v>232</v>
      </c>
      <c r="K11" s="19" t="s">
        <v>244</v>
      </c>
      <c r="L11" s="4"/>
      <c r="P11" s="2" t="s">
        <v>247</v>
      </c>
      <c r="Q11" s="2" t="s">
        <v>248</v>
      </c>
      <c r="R11" s="2" t="s">
        <v>253</v>
      </c>
      <c r="S11" s="2" t="s">
        <v>254</v>
      </c>
      <c r="T11" s="2" t="s">
        <v>255</v>
      </c>
      <c r="U11" s="2" t="s">
        <v>256</v>
      </c>
      <c r="V11" s="2" t="s">
        <v>257</v>
      </c>
      <c r="W11" s="2" t="s">
        <v>258</v>
      </c>
      <c r="X11" s="2" t="s">
        <v>259</v>
      </c>
    </row>
    <row r="12" spans="1:37" ht="12.75">
      <c r="A12" s="20"/>
      <c r="B12" s="21" t="s">
        <v>17</v>
      </c>
      <c r="C12" s="77" t="s">
        <v>137</v>
      </c>
      <c r="D12" s="78"/>
      <c r="E12" s="78"/>
      <c r="F12" s="78"/>
      <c r="G12" s="22"/>
      <c r="H12" s="22"/>
      <c r="I12" s="22"/>
      <c r="J12" s="23"/>
      <c r="K12" s="22">
        <f>SUM(K13:K13)</f>
        <v>21.4392</v>
      </c>
      <c r="P12" s="6">
        <f>IF(Q12="PR",I12,SUM(O13:O13))</f>
        <v>0</v>
      </c>
      <c r="Q12" s="2" t="s">
        <v>249</v>
      </c>
      <c r="R12" s="6">
        <f>IF(Q12="HS",G12,0)</f>
        <v>0</v>
      </c>
      <c r="S12" s="6">
        <f>IF(Q12="HS",H12-P12,0)</f>
        <v>0</v>
      </c>
      <c r="T12" s="6">
        <f>IF(Q12="PS",G12,0)</f>
        <v>0</v>
      </c>
      <c r="U12" s="6">
        <f>IF(Q12="PS",H12-P12,0)</f>
        <v>0</v>
      </c>
      <c r="V12" s="6">
        <f>IF(Q12="MP",G12,0)</f>
        <v>0</v>
      </c>
      <c r="W12" s="6">
        <f>IF(Q12="MP",H12-P12,0)</f>
        <v>0</v>
      </c>
      <c r="X12" s="6">
        <f>IF(Q12="OM",G12,0)</f>
        <v>0</v>
      </c>
      <c r="Y12" s="2"/>
      <c r="AI12" s="6">
        <f>SUM(Z13:Z13)</f>
        <v>0</v>
      </c>
      <c r="AJ12" s="6">
        <f>SUM(AA13:AA13)</f>
        <v>0</v>
      </c>
      <c r="AK12" s="6">
        <f>SUM(AB13:AB13)</f>
        <v>0</v>
      </c>
    </row>
    <row r="13" spans="1:32" ht="13.5" thickBot="1">
      <c r="A13" s="9" t="s">
        <v>7</v>
      </c>
      <c r="B13" s="9" t="s">
        <v>68</v>
      </c>
      <c r="C13" s="9" t="s">
        <v>138</v>
      </c>
      <c r="D13" s="9" t="s">
        <v>223</v>
      </c>
      <c r="E13" s="24">
        <v>89.33</v>
      </c>
      <c r="F13" s="24"/>
      <c r="G13" s="24"/>
      <c r="H13" s="24"/>
      <c r="I13" s="24"/>
      <c r="J13" s="24">
        <v>0.24</v>
      </c>
      <c r="K13" s="24">
        <f>E13*J13</f>
        <v>21.4392</v>
      </c>
      <c r="N13" s="5" t="s">
        <v>7</v>
      </c>
      <c r="O13" s="1">
        <f>IF(N13="5",H13,0)</f>
        <v>0</v>
      </c>
      <c r="Z13" s="1">
        <f>IF(AD13=0,I13,0)</f>
        <v>0</v>
      </c>
      <c r="AA13" s="1">
        <f>IF(AD13=15,I13,0)</f>
        <v>0</v>
      </c>
      <c r="AB13" s="1">
        <f>IF(AD13=21,I13,0)</f>
        <v>0</v>
      </c>
      <c r="AD13" s="1">
        <v>21</v>
      </c>
      <c r="AE13" s="1">
        <f>F13*0</f>
        <v>0</v>
      </c>
      <c r="AF13" s="1">
        <f>F13*(1-0)</f>
        <v>0</v>
      </c>
    </row>
    <row r="14" spans="1:32" ht="12.75">
      <c r="A14" s="9"/>
      <c r="B14" s="9"/>
      <c r="C14" s="52" t="s">
        <v>262</v>
      </c>
      <c r="D14" s="9"/>
      <c r="E14" s="24"/>
      <c r="F14" s="24"/>
      <c r="G14" s="24"/>
      <c r="H14" s="24"/>
      <c r="I14" s="24"/>
      <c r="J14" s="24"/>
      <c r="K14" s="24"/>
      <c r="N14" s="5"/>
      <c r="O14" s="1"/>
      <c r="Z14" s="1"/>
      <c r="AA14" s="1"/>
      <c r="AB14" s="1"/>
      <c r="AD14" s="1"/>
      <c r="AE14" s="1"/>
      <c r="AF14" s="1"/>
    </row>
    <row r="15" spans="1:32" ht="12.75">
      <c r="A15" s="9"/>
      <c r="B15" s="9"/>
      <c r="C15" s="53" t="s">
        <v>263</v>
      </c>
      <c r="D15" s="9"/>
      <c r="E15" s="24"/>
      <c r="F15" s="24"/>
      <c r="G15" s="24"/>
      <c r="H15" s="24"/>
      <c r="I15" s="24"/>
      <c r="J15" s="24"/>
      <c r="K15" s="24"/>
      <c r="N15" s="5"/>
      <c r="O15" s="1"/>
      <c r="Z15" s="1"/>
      <c r="AA15" s="1"/>
      <c r="AB15" s="1"/>
      <c r="AD15" s="1"/>
      <c r="AE15" s="1"/>
      <c r="AF15" s="1"/>
    </row>
    <row r="16" spans="1:32" ht="12.75">
      <c r="A16" s="9"/>
      <c r="B16" s="9"/>
      <c r="C16" s="53" t="s">
        <v>264</v>
      </c>
      <c r="D16" s="9"/>
      <c r="E16" s="24"/>
      <c r="F16" s="24"/>
      <c r="G16" s="24"/>
      <c r="H16" s="24"/>
      <c r="I16" s="24"/>
      <c r="J16" s="24"/>
      <c r="K16" s="24"/>
      <c r="N16" s="5"/>
      <c r="O16" s="1"/>
      <c r="Z16" s="1"/>
      <c r="AA16" s="1"/>
      <c r="AB16" s="1"/>
      <c r="AD16" s="1"/>
      <c r="AE16" s="1"/>
      <c r="AF16" s="1"/>
    </row>
    <row r="17" spans="1:32" ht="12.75">
      <c r="A17" s="9"/>
      <c r="B17" s="9"/>
      <c r="C17" s="53" t="s">
        <v>265</v>
      </c>
      <c r="D17" s="9"/>
      <c r="E17" s="24"/>
      <c r="F17" s="24"/>
      <c r="G17" s="24"/>
      <c r="H17" s="24"/>
      <c r="I17" s="24"/>
      <c r="J17" s="24"/>
      <c r="K17" s="24"/>
      <c r="N17" s="5"/>
      <c r="O17" s="1"/>
      <c r="Z17" s="1"/>
      <c r="AA17" s="1"/>
      <c r="AB17" s="1"/>
      <c r="AD17" s="1"/>
      <c r="AE17" s="1"/>
      <c r="AF17" s="1"/>
    </row>
    <row r="18" spans="1:37" ht="12.75">
      <c r="A18" s="25"/>
      <c r="B18" s="26" t="s">
        <v>19</v>
      </c>
      <c r="C18" s="79" t="s">
        <v>139</v>
      </c>
      <c r="D18" s="80"/>
      <c r="E18" s="80"/>
      <c r="F18" s="80"/>
      <c r="G18" s="27"/>
      <c r="H18" s="27"/>
      <c r="I18" s="27"/>
      <c r="J18" s="28"/>
      <c r="K18" s="27">
        <f>SUM(K19:K24)</f>
        <v>0</v>
      </c>
      <c r="P18" s="6">
        <f>IF(Q18="PR",I18,SUM(O19:O24))</f>
        <v>0</v>
      </c>
      <c r="Q18" s="2" t="s">
        <v>249</v>
      </c>
      <c r="R18" s="6">
        <f>IF(Q18="HS",G18,0)</f>
        <v>0</v>
      </c>
      <c r="S18" s="6">
        <f>IF(Q18="HS",H18-P18,0)</f>
        <v>0</v>
      </c>
      <c r="T18" s="6">
        <f>IF(Q18="PS",G18,0)</f>
        <v>0</v>
      </c>
      <c r="U18" s="6">
        <f>IF(Q18="PS",H18-P18,0)</f>
        <v>0</v>
      </c>
      <c r="V18" s="6">
        <f>IF(Q18="MP",G18,0)</f>
        <v>0</v>
      </c>
      <c r="W18" s="6">
        <f>IF(Q18="MP",H18-P18,0)</f>
        <v>0</v>
      </c>
      <c r="X18" s="6">
        <f>IF(Q18="OM",G18,0)</f>
        <v>0</v>
      </c>
      <c r="Y18" s="2"/>
      <c r="AI18" s="6">
        <f>SUM(Z19:Z24)</f>
        <v>0</v>
      </c>
      <c r="AJ18" s="6">
        <f>SUM(AA19:AA24)</f>
        <v>0</v>
      </c>
      <c r="AK18" s="6">
        <f>SUM(AB19:AB24)</f>
        <v>0</v>
      </c>
    </row>
    <row r="19" spans="1:32" ht="12.75">
      <c r="A19" s="9" t="s">
        <v>8</v>
      </c>
      <c r="B19" s="9" t="s">
        <v>69</v>
      </c>
      <c r="C19" s="9" t="s">
        <v>140</v>
      </c>
      <c r="D19" s="9" t="s">
        <v>224</v>
      </c>
      <c r="E19" s="24">
        <v>28.53</v>
      </c>
      <c r="F19" s="24"/>
      <c r="G19" s="24"/>
      <c r="H19" s="24"/>
      <c r="I19" s="24"/>
      <c r="J19" s="24">
        <v>0</v>
      </c>
      <c r="K19" s="24">
        <f>E19*J19</f>
        <v>0</v>
      </c>
      <c r="N19" s="5" t="s">
        <v>7</v>
      </c>
      <c r="O19" s="1">
        <f>IF(N19="5",H19,0)</f>
        <v>0</v>
      </c>
      <c r="Z19" s="1">
        <f>IF(AD19=0,I19,0)</f>
        <v>0</v>
      </c>
      <c r="AA19" s="1">
        <f>IF(AD19=15,I19,0)</f>
        <v>0</v>
      </c>
      <c r="AB19" s="1">
        <f>IF(AD19=21,I19,0)</f>
        <v>0</v>
      </c>
      <c r="AD19" s="1">
        <v>21</v>
      </c>
      <c r="AE19" s="1">
        <f>F19*0</f>
        <v>0</v>
      </c>
      <c r="AF19" s="1">
        <f>F19*(1-0)</f>
        <v>0</v>
      </c>
    </row>
    <row r="20" spans="1:32" ht="12.75">
      <c r="A20" s="9"/>
      <c r="B20" s="9"/>
      <c r="C20" s="53" t="s">
        <v>262</v>
      </c>
      <c r="D20" s="9"/>
      <c r="E20" s="24"/>
      <c r="F20" s="24"/>
      <c r="G20" s="24"/>
      <c r="H20" s="24"/>
      <c r="I20" s="24"/>
      <c r="J20" s="24"/>
      <c r="K20" s="24"/>
      <c r="N20" s="5"/>
      <c r="O20" s="1"/>
      <c r="Z20" s="1"/>
      <c r="AA20" s="1"/>
      <c r="AB20" s="1"/>
      <c r="AD20" s="1"/>
      <c r="AE20" s="1"/>
      <c r="AF20" s="1"/>
    </row>
    <row r="21" spans="1:32" ht="12.75">
      <c r="A21" s="9"/>
      <c r="B21" s="9"/>
      <c r="C21" s="53" t="s">
        <v>266</v>
      </c>
      <c r="D21" s="9"/>
      <c r="E21" s="24"/>
      <c r="F21" s="24"/>
      <c r="G21" s="24"/>
      <c r="H21" s="24"/>
      <c r="I21" s="24"/>
      <c r="J21" s="24"/>
      <c r="K21" s="24"/>
      <c r="N21" s="5"/>
      <c r="O21" s="1"/>
      <c r="Z21" s="1"/>
      <c r="AA21" s="1"/>
      <c r="AB21" s="1"/>
      <c r="AD21" s="1"/>
      <c r="AE21" s="1"/>
      <c r="AF21" s="1"/>
    </row>
    <row r="22" spans="1:32" ht="12.75">
      <c r="A22" s="9"/>
      <c r="B22" s="9"/>
      <c r="C22" s="53" t="s">
        <v>264</v>
      </c>
      <c r="D22" s="9"/>
      <c r="E22" s="24"/>
      <c r="F22" s="24"/>
      <c r="G22" s="24"/>
      <c r="H22" s="24"/>
      <c r="I22" s="24"/>
      <c r="J22" s="24"/>
      <c r="K22" s="24"/>
      <c r="N22" s="5"/>
      <c r="O22" s="1"/>
      <c r="Z22" s="1"/>
      <c r="AA22" s="1"/>
      <c r="AB22" s="1"/>
      <c r="AD22" s="1"/>
      <c r="AE22" s="1"/>
      <c r="AF22" s="1"/>
    </row>
    <row r="23" spans="1:32" ht="12.75">
      <c r="A23" s="9"/>
      <c r="B23" s="9"/>
      <c r="C23" s="53" t="s">
        <v>267</v>
      </c>
      <c r="D23" s="9"/>
      <c r="E23" s="24"/>
      <c r="F23" s="24"/>
      <c r="G23" s="24"/>
      <c r="H23" s="24"/>
      <c r="I23" s="24"/>
      <c r="J23" s="24"/>
      <c r="K23" s="24"/>
      <c r="N23" s="5"/>
      <c r="O23" s="1"/>
      <c r="Z23" s="1"/>
      <c r="AA23" s="1"/>
      <c r="AB23" s="1"/>
      <c r="AD23" s="1"/>
      <c r="AE23" s="1"/>
      <c r="AF23" s="1"/>
    </row>
    <row r="24" spans="1:32" ht="12.75">
      <c r="A24" s="9" t="s">
        <v>9</v>
      </c>
      <c r="B24" s="9" t="s">
        <v>70</v>
      </c>
      <c r="C24" s="9" t="s">
        <v>141</v>
      </c>
      <c r="D24" s="9" t="s">
        <v>224</v>
      </c>
      <c r="E24" s="24">
        <v>28.53</v>
      </c>
      <c r="F24" s="24"/>
      <c r="G24" s="24"/>
      <c r="H24" s="24"/>
      <c r="I24" s="24"/>
      <c r="J24" s="24">
        <v>0</v>
      </c>
      <c r="K24" s="24">
        <f>E24*J24</f>
        <v>0</v>
      </c>
      <c r="N24" s="5" t="s">
        <v>7</v>
      </c>
      <c r="O24" s="1">
        <f>IF(N24="5",H24,0)</f>
        <v>0</v>
      </c>
      <c r="Z24" s="1">
        <f>IF(AD24=0,I24,0)</f>
        <v>0</v>
      </c>
      <c r="AA24" s="1">
        <f>IF(AD24=15,I24,0)</f>
        <v>0</v>
      </c>
      <c r="AB24" s="1">
        <f>IF(AD24=21,I24,0)</f>
        <v>0</v>
      </c>
      <c r="AD24" s="1">
        <v>21</v>
      </c>
      <c r="AE24" s="1">
        <f>F24*0</f>
        <v>0</v>
      </c>
      <c r="AF24" s="1">
        <f>F24*(1-0)</f>
        <v>0</v>
      </c>
    </row>
    <row r="25" spans="1:37" ht="12.75">
      <c r="A25" s="25"/>
      <c r="B25" s="26" t="s">
        <v>22</v>
      </c>
      <c r="C25" s="79" t="s">
        <v>142</v>
      </c>
      <c r="D25" s="80"/>
      <c r="E25" s="80"/>
      <c r="F25" s="80"/>
      <c r="G25" s="27"/>
      <c r="H25" s="27"/>
      <c r="I25" s="27"/>
      <c r="J25" s="28"/>
      <c r="K25" s="27">
        <f>SUM(K26:K26)</f>
        <v>0</v>
      </c>
      <c r="P25" s="6">
        <f>IF(Q25="PR",I25,SUM(O26:O26))</f>
        <v>0</v>
      </c>
      <c r="Q25" s="2" t="s">
        <v>249</v>
      </c>
      <c r="R25" s="6">
        <f>IF(Q25="HS",G25,0)</f>
        <v>0</v>
      </c>
      <c r="S25" s="6">
        <f>IF(Q25="HS",H25-P25,0)</f>
        <v>0</v>
      </c>
      <c r="T25" s="6">
        <f>IF(Q25="PS",G25,0)</f>
        <v>0</v>
      </c>
      <c r="U25" s="6">
        <f>IF(Q25="PS",H25-P25,0)</f>
        <v>0</v>
      </c>
      <c r="V25" s="6">
        <f>IF(Q25="MP",G25,0)</f>
        <v>0</v>
      </c>
      <c r="W25" s="6">
        <f>IF(Q25="MP",H25-P25,0)</f>
        <v>0</v>
      </c>
      <c r="X25" s="6">
        <f>IF(Q25="OM",G25,0)</f>
        <v>0</v>
      </c>
      <c r="Y25" s="2"/>
      <c r="AI25" s="6">
        <f>SUM(Z26:Z26)</f>
        <v>0</v>
      </c>
      <c r="AJ25" s="6">
        <f>SUM(AA26:AA26)</f>
        <v>0</v>
      </c>
      <c r="AK25" s="6">
        <f>SUM(AB26:AB26)</f>
        <v>0</v>
      </c>
    </row>
    <row r="26" spans="1:32" ht="12.75">
      <c r="A26" s="9" t="s">
        <v>10</v>
      </c>
      <c r="B26" s="9" t="s">
        <v>71</v>
      </c>
      <c r="C26" s="9" t="s">
        <v>143</v>
      </c>
      <c r="D26" s="9" t="s">
        <v>224</v>
      </c>
      <c r="E26" s="24">
        <v>28.53</v>
      </c>
      <c r="F26" s="24"/>
      <c r="G26" s="24"/>
      <c r="H26" s="24"/>
      <c r="I26" s="24"/>
      <c r="J26" s="24">
        <v>0</v>
      </c>
      <c r="K26" s="24">
        <f>E26*J26</f>
        <v>0</v>
      </c>
      <c r="N26" s="5" t="s">
        <v>7</v>
      </c>
      <c r="O26" s="1">
        <f>IF(N26="5",H26,0)</f>
        <v>0</v>
      </c>
      <c r="Z26" s="1">
        <f>IF(AD26=0,I26,0)</f>
        <v>0</v>
      </c>
      <c r="AA26" s="1">
        <f>IF(AD26=15,I26,0)</f>
        <v>0</v>
      </c>
      <c r="AB26" s="1">
        <f>IF(AD26=21,I26,0)</f>
        <v>0</v>
      </c>
      <c r="AD26" s="1">
        <v>21</v>
      </c>
      <c r="AE26" s="1">
        <f>F26*0</f>
        <v>0</v>
      </c>
      <c r="AF26" s="1">
        <f>F26*(1-0)</f>
        <v>0</v>
      </c>
    </row>
    <row r="27" spans="1:37" ht="12.75">
      <c r="A27" s="25"/>
      <c r="B27" s="26" t="s">
        <v>23</v>
      </c>
      <c r="C27" s="79" t="s">
        <v>144</v>
      </c>
      <c r="D27" s="80"/>
      <c r="E27" s="80"/>
      <c r="F27" s="80"/>
      <c r="G27" s="27"/>
      <c r="H27" s="27"/>
      <c r="I27" s="27"/>
      <c r="J27" s="28"/>
      <c r="K27" s="27">
        <f>SUM(K28:K28)</f>
        <v>0</v>
      </c>
      <c r="P27" s="6">
        <f>IF(Q27="PR",I27,SUM(O28:O28))</f>
        <v>0</v>
      </c>
      <c r="Q27" s="2" t="s">
        <v>249</v>
      </c>
      <c r="R27" s="6">
        <f>IF(Q27="HS",G27,0)</f>
        <v>0</v>
      </c>
      <c r="S27" s="6">
        <f>IF(Q27="HS",H27-P27,0)</f>
        <v>0</v>
      </c>
      <c r="T27" s="6">
        <f>IF(Q27="PS",G27,0)</f>
        <v>0</v>
      </c>
      <c r="U27" s="6">
        <f>IF(Q27="PS",H27-P27,0)</f>
        <v>0</v>
      </c>
      <c r="V27" s="6">
        <f>IF(Q27="MP",G27,0)</f>
        <v>0</v>
      </c>
      <c r="W27" s="6">
        <f>IF(Q27="MP",H27-P27,0)</f>
        <v>0</v>
      </c>
      <c r="X27" s="6">
        <f>IF(Q27="OM",G27,0)</f>
        <v>0</v>
      </c>
      <c r="Y27" s="2"/>
      <c r="AI27" s="6">
        <f>SUM(Z28:Z28)</f>
        <v>0</v>
      </c>
      <c r="AJ27" s="6">
        <f>SUM(AA28:AA28)</f>
        <v>0</v>
      </c>
      <c r="AK27" s="6">
        <f>SUM(AB28:AB28)</f>
        <v>0</v>
      </c>
    </row>
    <row r="28" spans="1:32" ht="12.75">
      <c r="A28" s="9" t="s">
        <v>11</v>
      </c>
      <c r="B28" s="9" t="s">
        <v>72</v>
      </c>
      <c r="C28" s="9" t="s">
        <v>145</v>
      </c>
      <c r="D28" s="9" t="s">
        <v>224</v>
      </c>
      <c r="E28" s="24">
        <v>28.53</v>
      </c>
      <c r="F28" s="24"/>
      <c r="G28" s="24"/>
      <c r="H28" s="24"/>
      <c r="I28" s="24"/>
      <c r="J28" s="24">
        <v>0</v>
      </c>
      <c r="K28" s="24">
        <f>E28*J28</f>
        <v>0</v>
      </c>
      <c r="N28" s="5" t="s">
        <v>7</v>
      </c>
      <c r="O28" s="1">
        <f>IF(N28="5",H28,0)</f>
        <v>0</v>
      </c>
      <c r="Z28" s="1">
        <f>IF(AD28=0,I28,0)</f>
        <v>0</v>
      </c>
      <c r="AA28" s="1">
        <f>IF(AD28=15,I28,0)</f>
        <v>0</v>
      </c>
      <c r="AB28" s="1">
        <f>IF(AD28=21,I28,0)</f>
        <v>0</v>
      </c>
      <c r="AD28" s="1">
        <v>21</v>
      </c>
      <c r="AE28" s="1">
        <f>F28*0</f>
        <v>0</v>
      </c>
      <c r="AF28" s="1">
        <f>F28*(1-0)</f>
        <v>0</v>
      </c>
    </row>
    <row r="29" spans="1:37" ht="12.75">
      <c r="A29" s="25"/>
      <c r="B29" s="26" t="s">
        <v>37</v>
      </c>
      <c r="C29" s="79" t="s">
        <v>146</v>
      </c>
      <c r="D29" s="80"/>
      <c r="E29" s="80"/>
      <c r="F29" s="80"/>
      <c r="G29" s="27"/>
      <c r="H29" s="27"/>
      <c r="I29" s="27"/>
      <c r="J29" s="28"/>
      <c r="K29" s="27">
        <f>SUM(K30:K30)</f>
        <v>1.3980096</v>
      </c>
      <c r="P29" s="6">
        <f>IF(Q29="PR",I29,SUM(O30:O30))</f>
        <v>0</v>
      </c>
      <c r="Q29" s="2" t="s">
        <v>249</v>
      </c>
      <c r="R29" s="6">
        <f>IF(Q29="HS",G29,0)</f>
        <v>0</v>
      </c>
      <c r="S29" s="6">
        <f>IF(Q29="HS",H29-P29,0)</f>
        <v>0</v>
      </c>
      <c r="T29" s="6">
        <f>IF(Q29="PS",G29,0)</f>
        <v>0</v>
      </c>
      <c r="U29" s="6">
        <f>IF(Q29="PS",H29-P29,0)</f>
        <v>0</v>
      </c>
      <c r="V29" s="6">
        <f>IF(Q29="MP",G29,0)</f>
        <v>0</v>
      </c>
      <c r="W29" s="6">
        <f>IF(Q29="MP",H29-P29,0)</f>
        <v>0</v>
      </c>
      <c r="X29" s="6">
        <f>IF(Q29="OM",G29,0)</f>
        <v>0</v>
      </c>
      <c r="Y29" s="2"/>
      <c r="AI29" s="6">
        <f>SUM(Z30:Z30)</f>
        <v>0</v>
      </c>
      <c r="AJ29" s="6">
        <f>SUM(AA30:AA30)</f>
        <v>0</v>
      </c>
      <c r="AK29" s="6">
        <f>SUM(AB30:AB30)</f>
        <v>0</v>
      </c>
    </row>
    <row r="30" spans="1:32" ht="12.75">
      <c r="A30" s="9" t="s">
        <v>12</v>
      </c>
      <c r="B30" s="9" t="s">
        <v>73</v>
      </c>
      <c r="C30" s="9" t="s">
        <v>147</v>
      </c>
      <c r="D30" s="9" t="s">
        <v>224</v>
      </c>
      <c r="E30" s="24">
        <v>0.72</v>
      </c>
      <c r="F30" s="24"/>
      <c r="G30" s="24"/>
      <c r="H30" s="24"/>
      <c r="I30" s="24"/>
      <c r="J30" s="24">
        <v>1.94168</v>
      </c>
      <c r="K30" s="24">
        <f>E30*J30</f>
        <v>1.3980096</v>
      </c>
      <c r="N30" s="5" t="s">
        <v>7</v>
      </c>
      <c r="O30" s="1">
        <f>IF(N30="5",H30,0)</f>
        <v>0</v>
      </c>
      <c r="Z30" s="1">
        <f>IF(AD30=0,I30,0)</f>
        <v>0</v>
      </c>
      <c r="AA30" s="1">
        <f>IF(AD30=15,I30,0)</f>
        <v>0</v>
      </c>
      <c r="AB30" s="1">
        <f>IF(AD30=21,I30,0)</f>
        <v>0</v>
      </c>
      <c r="AD30" s="1">
        <v>21</v>
      </c>
      <c r="AE30" s="1">
        <f>F30*0.757612917293655</f>
        <v>0</v>
      </c>
      <c r="AF30" s="1">
        <f>F30*(1-0.757612917293655)</f>
        <v>0</v>
      </c>
    </row>
    <row r="31" spans="1:32" ht="12.75">
      <c r="A31" s="9"/>
      <c r="B31" s="9"/>
      <c r="C31" s="53" t="s">
        <v>268</v>
      </c>
      <c r="D31" s="9"/>
      <c r="E31" s="24"/>
      <c r="F31" s="24"/>
      <c r="G31" s="24"/>
      <c r="H31" s="24"/>
      <c r="I31" s="24"/>
      <c r="J31" s="24"/>
      <c r="K31" s="24"/>
      <c r="N31" s="5"/>
      <c r="O31" s="1"/>
      <c r="Z31" s="1"/>
      <c r="AA31" s="1"/>
      <c r="AB31" s="1"/>
      <c r="AD31" s="1"/>
      <c r="AE31" s="1"/>
      <c r="AF31" s="1"/>
    </row>
    <row r="32" spans="1:32" ht="12.75">
      <c r="A32" s="9"/>
      <c r="B32" s="9"/>
      <c r="C32" s="53" t="s">
        <v>269</v>
      </c>
      <c r="D32" s="9"/>
      <c r="E32" s="24"/>
      <c r="F32" s="24"/>
      <c r="G32" s="24"/>
      <c r="H32" s="24"/>
      <c r="I32" s="24"/>
      <c r="J32" s="24"/>
      <c r="K32" s="24"/>
      <c r="N32" s="5"/>
      <c r="O32" s="1"/>
      <c r="Z32" s="1"/>
      <c r="AA32" s="1"/>
      <c r="AB32" s="1"/>
      <c r="AD32" s="1"/>
      <c r="AE32" s="1"/>
      <c r="AF32" s="1"/>
    </row>
    <row r="33" spans="1:37" ht="12.75">
      <c r="A33" s="25"/>
      <c r="B33" s="26" t="s">
        <v>51</v>
      </c>
      <c r="C33" s="79" t="s">
        <v>148</v>
      </c>
      <c r="D33" s="80"/>
      <c r="E33" s="80"/>
      <c r="F33" s="80"/>
      <c r="G33" s="27"/>
      <c r="H33" s="27"/>
      <c r="I33" s="27"/>
      <c r="J33" s="28"/>
      <c r="K33" s="27">
        <f>SUM(K34:K34)</f>
        <v>26.984569999999998</v>
      </c>
      <c r="P33" s="6">
        <f>IF(Q33="PR",I33,SUM(O34:O34))</f>
        <v>0</v>
      </c>
      <c r="Q33" s="2" t="s">
        <v>249</v>
      </c>
      <c r="R33" s="6">
        <f>IF(Q33="HS",G33,0)</f>
        <v>0</v>
      </c>
      <c r="S33" s="6">
        <f>IF(Q33="HS",H33-P33,0)</f>
        <v>0</v>
      </c>
      <c r="T33" s="6">
        <f>IF(Q33="PS",G33,0)</f>
        <v>0</v>
      </c>
      <c r="U33" s="6">
        <f>IF(Q33="PS",H33-P33,0)</f>
        <v>0</v>
      </c>
      <c r="V33" s="6">
        <f>IF(Q33="MP",G33,0)</f>
        <v>0</v>
      </c>
      <c r="W33" s="6">
        <f>IF(Q33="MP",H33-P33,0)</f>
        <v>0</v>
      </c>
      <c r="X33" s="6">
        <f>IF(Q33="OM",G33,0)</f>
        <v>0</v>
      </c>
      <c r="Y33" s="2"/>
      <c r="AI33" s="6">
        <f>SUM(Z34:Z34)</f>
        <v>0</v>
      </c>
      <c r="AJ33" s="6">
        <f>SUM(AA34:AA34)</f>
        <v>0</v>
      </c>
      <c r="AK33" s="6">
        <f>SUM(AB34:AB34)</f>
        <v>0</v>
      </c>
    </row>
    <row r="34" spans="1:32" ht="12.75">
      <c r="A34" s="9" t="s">
        <v>13</v>
      </c>
      <c r="B34" s="9" t="s">
        <v>74</v>
      </c>
      <c r="C34" s="9" t="s">
        <v>149</v>
      </c>
      <c r="D34" s="9" t="s">
        <v>224</v>
      </c>
      <c r="E34" s="24">
        <v>14.27</v>
      </c>
      <c r="F34" s="24"/>
      <c r="G34" s="24"/>
      <c r="H34" s="24"/>
      <c r="I34" s="24"/>
      <c r="J34" s="24">
        <v>1.891</v>
      </c>
      <c r="K34" s="24">
        <f>E34*J34</f>
        <v>26.984569999999998</v>
      </c>
      <c r="N34" s="5" t="s">
        <v>7</v>
      </c>
      <c r="O34" s="1">
        <f>IF(N34="5",H34,0)</f>
        <v>0</v>
      </c>
      <c r="Z34" s="1">
        <f>IF(AD34=0,I34,0)</f>
        <v>0</v>
      </c>
      <c r="AA34" s="1">
        <f>IF(AD34=15,I34,0)</f>
        <v>0</v>
      </c>
      <c r="AB34" s="1">
        <f>IF(AD34=21,I34,0)</f>
        <v>0</v>
      </c>
      <c r="AD34" s="1">
        <v>21</v>
      </c>
      <c r="AE34" s="1">
        <f>F34*0</f>
        <v>0</v>
      </c>
      <c r="AF34" s="1">
        <f>F34*(1-0)</f>
        <v>0</v>
      </c>
    </row>
    <row r="35" spans="1:32" ht="12.75">
      <c r="A35" s="9"/>
      <c r="B35" s="9"/>
      <c r="C35" s="53" t="s">
        <v>262</v>
      </c>
      <c r="D35" s="9"/>
      <c r="E35" s="24"/>
      <c r="F35" s="24"/>
      <c r="G35" s="24"/>
      <c r="H35" s="24"/>
      <c r="I35" s="24"/>
      <c r="J35" s="24"/>
      <c r="K35" s="24"/>
      <c r="N35" s="5"/>
      <c r="O35" s="1"/>
      <c r="Z35" s="1"/>
      <c r="AA35" s="1"/>
      <c r="AB35" s="1"/>
      <c r="AD35" s="1"/>
      <c r="AE35" s="1"/>
      <c r="AF35" s="1"/>
    </row>
    <row r="36" spans="1:32" ht="12.75">
      <c r="A36" s="9"/>
      <c r="B36" s="9"/>
      <c r="C36" s="53" t="s">
        <v>270</v>
      </c>
      <c r="D36" s="9"/>
      <c r="E36" s="24"/>
      <c r="F36" s="24"/>
      <c r="G36" s="24"/>
      <c r="H36" s="24"/>
      <c r="I36" s="24"/>
      <c r="J36" s="24"/>
      <c r="K36" s="24"/>
      <c r="N36" s="5"/>
      <c r="O36" s="1"/>
      <c r="Z36" s="1"/>
      <c r="AA36" s="1"/>
      <c r="AB36" s="1"/>
      <c r="AD36" s="1"/>
      <c r="AE36" s="1"/>
      <c r="AF36" s="1"/>
    </row>
    <row r="37" spans="1:32" ht="12.75">
      <c r="A37" s="9"/>
      <c r="B37" s="9"/>
      <c r="C37" s="53" t="s">
        <v>264</v>
      </c>
      <c r="D37" s="9"/>
      <c r="E37" s="24"/>
      <c r="F37" s="24"/>
      <c r="G37" s="24"/>
      <c r="H37" s="24"/>
      <c r="I37" s="24"/>
      <c r="J37" s="24"/>
      <c r="K37" s="24"/>
      <c r="N37" s="5"/>
      <c r="O37" s="1"/>
      <c r="Z37" s="1"/>
      <c r="AA37" s="1"/>
      <c r="AB37" s="1"/>
      <c r="AD37" s="1"/>
      <c r="AE37" s="1"/>
      <c r="AF37" s="1"/>
    </row>
    <row r="38" spans="1:32" ht="12.75">
      <c r="A38" s="9"/>
      <c r="B38" s="9"/>
      <c r="C38" s="53" t="s">
        <v>271</v>
      </c>
      <c r="D38" s="9"/>
      <c r="E38" s="24"/>
      <c r="F38" s="24"/>
      <c r="G38" s="24"/>
      <c r="H38" s="24"/>
      <c r="I38" s="24"/>
      <c r="J38" s="24"/>
      <c r="K38" s="24"/>
      <c r="N38" s="5"/>
      <c r="O38" s="1"/>
      <c r="Z38" s="1"/>
      <c r="AA38" s="1"/>
      <c r="AB38" s="1"/>
      <c r="AD38" s="1"/>
      <c r="AE38" s="1"/>
      <c r="AF38" s="1"/>
    </row>
    <row r="39" spans="1:37" ht="12.75">
      <c r="A39" s="25"/>
      <c r="B39" s="26" t="s">
        <v>65</v>
      </c>
      <c r="C39" s="79" t="s">
        <v>150</v>
      </c>
      <c r="D39" s="80"/>
      <c r="E39" s="80"/>
      <c r="F39" s="80"/>
      <c r="G39" s="27"/>
      <c r="H39" s="27"/>
      <c r="I39" s="27"/>
      <c r="J39" s="28"/>
      <c r="K39" s="27">
        <f>SUM(K40:K40)</f>
        <v>1.5814599999999999</v>
      </c>
      <c r="P39" s="6">
        <f>IF(Q39="PR",I39,SUM(O40:O40))</f>
        <v>0</v>
      </c>
      <c r="Q39" s="2" t="s">
        <v>249</v>
      </c>
      <c r="R39" s="6">
        <f>IF(Q39="HS",G39,0)</f>
        <v>0</v>
      </c>
      <c r="S39" s="6">
        <f>IF(Q39="HS",H39-P39,0)</f>
        <v>0</v>
      </c>
      <c r="T39" s="6">
        <f>IF(Q39="PS",G39,0)</f>
        <v>0</v>
      </c>
      <c r="U39" s="6">
        <f>IF(Q39="PS",H39-P39,0)</f>
        <v>0</v>
      </c>
      <c r="V39" s="6">
        <f>IF(Q39="MP",G39,0)</f>
        <v>0</v>
      </c>
      <c r="W39" s="6">
        <f>IF(Q39="MP",H39-P39,0)</f>
        <v>0</v>
      </c>
      <c r="X39" s="6">
        <f>IF(Q39="OM",G39,0)</f>
        <v>0</v>
      </c>
      <c r="Y39" s="2"/>
      <c r="AI39" s="6">
        <f>SUM(Z40:Z40)</f>
        <v>0</v>
      </c>
      <c r="AJ39" s="6">
        <f>SUM(AA40:AA40)</f>
        <v>0</v>
      </c>
      <c r="AK39" s="6">
        <f>SUM(AB40:AB40)</f>
        <v>0</v>
      </c>
    </row>
    <row r="40" spans="1:32" ht="12.75">
      <c r="A40" s="9" t="s">
        <v>14</v>
      </c>
      <c r="B40" s="9" t="s">
        <v>75</v>
      </c>
      <c r="C40" s="9" t="s">
        <v>151</v>
      </c>
      <c r="D40" s="9" t="s">
        <v>223</v>
      </c>
      <c r="E40" s="24">
        <v>21.4</v>
      </c>
      <c r="F40" s="24"/>
      <c r="G40" s="24"/>
      <c r="H40" s="24"/>
      <c r="I40" s="24"/>
      <c r="J40" s="24">
        <v>0.0739</v>
      </c>
      <c r="K40" s="24">
        <f>E40*J40</f>
        <v>1.5814599999999999</v>
      </c>
      <c r="N40" s="5" t="s">
        <v>7</v>
      </c>
      <c r="O40" s="1">
        <f>IF(N40="5",H40,0)</f>
        <v>0</v>
      </c>
      <c r="Z40" s="1">
        <f>IF(AD40=0,I40,0)</f>
        <v>0</v>
      </c>
      <c r="AA40" s="1">
        <f>IF(AD40=15,I40,0)</f>
        <v>0</v>
      </c>
      <c r="AB40" s="1">
        <f>IF(AD40=21,I40,0)</f>
        <v>0</v>
      </c>
      <c r="AD40" s="1">
        <v>21</v>
      </c>
      <c r="AE40" s="1">
        <f>F40*0.169469928644241</f>
        <v>0</v>
      </c>
      <c r="AF40" s="1">
        <f>F40*(1-0.169469928644241)</f>
        <v>0</v>
      </c>
    </row>
    <row r="41" spans="1:32" ht="12.75">
      <c r="A41" s="9"/>
      <c r="B41" s="9"/>
      <c r="C41" s="53" t="s">
        <v>272</v>
      </c>
      <c r="D41" s="9"/>
      <c r="E41" s="24"/>
      <c r="F41" s="24"/>
      <c r="G41" s="24"/>
      <c r="H41" s="24"/>
      <c r="I41" s="24"/>
      <c r="J41" s="24"/>
      <c r="K41" s="24"/>
      <c r="N41" s="5"/>
      <c r="O41" s="1"/>
      <c r="Z41" s="1"/>
      <c r="AA41" s="1"/>
      <c r="AB41" s="1"/>
      <c r="AD41" s="1"/>
      <c r="AE41" s="1"/>
      <c r="AF41" s="1"/>
    </row>
    <row r="42" spans="1:32" ht="12.75">
      <c r="A42" s="9"/>
      <c r="B42" s="9"/>
      <c r="C42" s="53" t="s">
        <v>273</v>
      </c>
      <c r="D42" s="9"/>
      <c r="E42" s="24"/>
      <c r="F42" s="24"/>
      <c r="G42" s="24"/>
      <c r="H42" s="24"/>
      <c r="I42" s="24"/>
      <c r="J42" s="24"/>
      <c r="K42" s="24"/>
      <c r="N42" s="5"/>
      <c r="O42" s="1"/>
      <c r="Z42" s="1"/>
      <c r="AA42" s="1"/>
      <c r="AB42" s="1"/>
      <c r="AD42" s="1"/>
      <c r="AE42" s="1"/>
      <c r="AF42" s="1"/>
    </row>
    <row r="43" spans="1:37" ht="12.75">
      <c r="A43" s="25"/>
      <c r="B43" s="26" t="s">
        <v>76</v>
      </c>
      <c r="C43" s="79" t="s">
        <v>152</v>
      </c>
      <c r="D43" s="80"/>
      <c r="E43" s="80"/>
      <c r="F43" s="80"/>
      <c r="G43" s="27"/>
      <c r="H43" s="27"/>
      <c r="I43" s="27"/>
      <c r="J43" s="28"/>
      <c r="K43" s="27">
        <f>SUM(K44:K44)</f>
        <v>0.14298</v>
      </c>
      <c r="P43" s="6">
        <f>IF(Q43="PR",I43,SUM(O44:O44))</f>
        <v>0</v>
      </c>
      <c r="Q43" s="2" t="s">
        <v>249</v>
      </c>
      <c r="R43" s="6">
        <f>IF(Q43="HS",G43,0)</f>
        <v>0</v>
      </c>
      <c r="S43" s="6">
        <f>IF(Q43="HS",H43-P43,0)</f>
        <v>0</v>
      </c>
      <c r="T43" s="6">
        <f>IF(Q43="PS",G43,0)</f>
        <v>0</v>
      </c>
      <c r="U43" s="6">
        <f>IF(Q43="PS",H43-P43,0)</f>
        <v>0</v>
      </c>
      <c r="V43" s="6">
        <f>IF(Q43="MP",G43,0)</f>
        <v>0</v>
      </c>
      <c r="W43" s="6">
        <f>IF(Q43="MP",H43-P43,0)</f>
        <v>0</v>
      </c>
      <c r="X43" s="6">
        <f>IF(Q43="OM",G43,0)</f>
        <v>0</v>
      </c>
      <c r="Y43" s="2"/>
      <c r="AI43" s="6">
        <f>SUM(Z44:Z44)</f>
        <v>0</v>
      </c>
      <c r="AJ43" s="6">
        <f>SUM(AA44:AA44)</f>
        <v>0</v>
      </c>
      <c r="AK43" s="6">
        <f>SUM(AB44:AB44)</f>
        <v>0</v>
      </c>
    </row>
    <row r="44" spans="1:32" ht="12.75">
      <c r="A44" s="9" t="s">
        <v>15</v>
      </c>
      <c r="B44" s="9" t="s">
        <v>77</v>
      </c>
      <c r="C44" s="9" t="s">
        <v>153</v>
      </c>
      <c r="D44" s="9" t="s">
        <v>223</v>
      </c>
      <c r="E44" s="24">
        <v>3</v>
      </c>
      <c r="F44" s="24"/>
      <c r="G44" s="24"/>
      <c r="H44" s="24"/>
      <c r="I44" s="24"/>
      <c r="J44" s="24">
        <v>0.04766</v>
      </c>
      <c r="K44" s="24">
        <f>E44*J44</f>
        <v>0.14298</v>
      </c>
      <c r="N44" s="5" t="s">
        <v>7</v>
      </c>
      <c r="O44" s="1">
        <f>IF(N44="5",H44,0)</f>
        <v>0</v>
      </c>
      <c r="Z44" s="1">
        <f>IF(AD44=0,I44,0)</f>
        <v>0</v>
      </c>
      <c r="AA44" s="1">
        <f>IF(AD44=15,I44,0)</f>
        <v>0</v>
      </c>
      <c r="AB44" s="1">
        <f>IF(AD44=21,I44,0)</f>
        <v>0</v>
      </c>
      <c r="AD44" s="1">
        <v>21</v>
      </c>
      <c r="AE44" s="1">
        <f>F44*0.162162162162162</f>
        <v>0</v>
      </c>
      <c r="AF44" s="1">
        <f>F44*(1-0.162162162162162)</f>
        <v>0</v>
      </c>
    </row>
    <row r="45" spans="1:32" ht="12.75">
      <c r="A45" s="9"/>
      <c r="B45" s="9"/>
      <c r="C45" s="53" t="s">
        <v>274</v>
      </c>
      <c r="D45" s="9"/>
      <c r="E45" s="24"/>
      <c r="F45" s="24"/>
      <c r="G45" s="24"/>
      <c r="H45" s="24"/>
      <c r="I45" s="24"/>
      <c r="J45" s="24"/>
      <c r="K45" s="24"/>
      <c r="N45" s="5"/>
      <c r="O45" s="1"/>
      <c r="Z45" s="1"/>
      <c r="AA45" s="1"/>
      <c r="AB45" s="1"/>
      <c r="AD45" s="1"/>
      <c r="AE45" s="1"/>
      <c r="AF45" s="1"/>
    </row>
    <row r="46" spans="1:32" ht="12.75">
      <c r="A46" s="9"/>
      <c r="B46" s="9"/>
      <c r="C46" s="53" t="s">
        <v>275</v>
      </c>
      <c r="D46" s="9"/>
      <c r="E46" s="24"/>
      <c r="F46" s="24"/>
      <c r="G46" s="24"/>
      <c r="H46" s="24"/>
      <c r="I46" s="24"/>
      <c r="J46" s="24"/>
      <c r="K46" s="24"/>
      <c r="N46" s="5"/>
      <c r="O46" s="1"/>
      <c r="Z46" s="1"/>
      <c r="AA46" s="1"/>
      <c r="AB46" s="1"/>
      <c r="AD46" s="1"/>
      <c r="AE46" s="1"/>
      <c r="AF46" s="1"/>
    </row>
    <row r="47" spans="1:37" ht="12.75">
      <c r="A47" s="25"/>
      <c r="B47" s="26" t="s">
        <v>78</v>
      </c>
      <c r="C47" s="79" t="s">
        <v>154</v>
      </c>
      <c r="D47" s="80"/>
      <c r="E47" s="80"/>
      <c r="F47" s="80"/>
      <c r="G47" s="27"/>
      <c r="H47" s="27"/>
      <c r="I47" s="27"/>
      <c r="J47" s="28"/>
      <c r="K47" s="27">
        <f>SUM(K48:K135)</f>
        <v>14.773840800000002</v>
      </c>
      <c r="P47" s="6">
        <f>IF(Q47="PR",I47,SUM(O48:O135))</f>
        <v>0</v>
      </c>
      <c r="Q47" s="2" t="s">
        <v>249</v>
      </c>
      <c r="R47" s="6">
        <f>IF(Q47="HS",G47,0)</f>
        <v>0</v>
      </c>
      <c r="S47" s="6">
        <f>IF(Q47="HS",H47-P47,0)</f>
        <v>0</v>
      </c>
      <c r="T47" s="6">
        <f>IF(Q47="PS",G47,0)</f>
        <v>0</v>
      </c>
      <c r="U47" s="6">
        <f>IF(Q47="PS",H47-P47,0)</f>
        <v>0</v>
      </c>
      <c r="V47" s="6">
        <f>IF(Q47="MP",G47,0)</f>
        <v>0</v>
      </c>
      <c r="W47" s="6">
        <f>IF(Q47="MP",H47-P47,0)</f>
        <v>0</v>
      </c>
      <c r="X47" s="6">
        <f>IF(Q47="OM",G47,0)</f>
        <v>0</v>
      </c>
      <c r="Y47" s="2"/>
      <c r="AI47" s="6">
        <f>SUM(Z48:Z135)</f>
        <v>0</v>
      </c>
      <c r="AJ47" s="6">
        <f>SUM(AA48:AA135)</f>
        <v>0</v>
      </c>
      <c r="AK47" s="6">
        <f>SUM(AB48:AB135)</f>
        <v>0</v>
      </c>
    </row>
    <row r="48" spans="1:32" ht="12.75">
      <c r="A48" s="9" t="s">
        <v>16</v>
      </c>
      <c r="B48" s="9" t="s">
        <v>79</v>
      </c>
      <c r="C48" s="9" t="s">
        <v>155</v>
      </c>
      <c r="D48" s="9" t="s">
        <v>223</v>
      </c>
      <c r="E48" s="24">
        <v>15</v>
      </c>
      <c r="F48" s="24"/>
      <c r="G48" s="24"/>
      <c r="H48" s="24"/>
      <c r="I48" s="24"/>
      <c r="J48" s="24">
        <v>0.0007</v>
      </c>
      <c r="K48" s="24">
        <f>E48*J48</f>
        <v>0.0105</v>
      </c>
      <c r="N48" s="5" t="s">
        <v>7</v>
      </c>
      <c r="O48" s="1">
        <f>IF(N48="5",H48,0)</f>
        <v>0</v>
      </c>
      <c r="Z48" s="1">
        <f>IF(AD48=0,I48,0)</f>
        <v>0</v>
      </c>
      <c r="AA48" s="1">
        <f>IF(AD48=15,I48,0)</f>
        <v>0</v>
      </c>
      <c r="AB48" s="1">
        <f>IF(AD48=21,I48,0)</f>
        <v>0</v>
      </c>
      <c r="AD48" s="1">
        <v>21</v>
      </c>
      <c r="AE48" s="1">
        <f>F48*0.501984615384615</f>
        <v>0</v>
      </c>
      <c r="AF48" s="1">
        <f>F48*(1-0.501984615384615)</f>
        <v>0</v>
      </c>
    </row>
    <row r="49" spans="1:32" ht="12.75">
      <c r="A49" s="9"/>
      <c r="B49" s="9"/>
      <c r="C49" s="53" t="s">
        <v>276</v>
      </c>
      <c r="D49" s="9"/>
      <c r="E49" s="24"/>
      <c r="F49" s="24"/>
      <c r="G49" s="24"/>
      <c r="H49" s="24"/>
      <c r="I49" s="24"/>
      <c r="J49" s="24"/>
      <c r="K49" s="24"/>
      <c r="N49" s="5"/>
      <c r="O49" s="1"/>
      <c r="Z49" s="1"/>
      <c r="AA49" s="1"/>
      <c r="AB49" s="1"/>
      <c r="AD49" s="1"/>
      <c r="AE49" s="1"/>
      <c r="AF49" s="1"/>
    </row>
    <row r="50" spans="1:32" ht="12.75">
      <c r="A50" s="9" t="s">
        <v>17</v>
      </c>
      <c r="B50" s="9" t="s">
        <v>80</v>
      </c>
      <c r="C50" s="9" t="s">
        <v>156</v>
      </c>
      <c r="D50" s="9" t="s">
        <v>223</v>
      </c>
      <c r="E50" s="24">
        <v>285.88</v>
      </c>
      <c r="F50" s="24"/>
      <c r="G50" s="24"/>
      <c r="H50" s="24"/>
      <c r="I50" s="24"/>
      <c r="J50" s="24">
        <v>0.00794</v>
      </c>
      <c r="K50" s="24">
        <f>E50*J50</f>
        <v>2.2698872</v>
      </c>
      <c r="N50" s="5" t="s">
        <v>7</v>
      </c>
      <c r="O50" s="1">
        <f>IF(N50="5",H50,0)</f>
        <v>0</v>
      </c>
      <c r="Z50" s="1">
        <f>IF(AD50=0,I50,0)</f>
        <v>0</v>
      </c>
      <c r="AA50" s="1">
        <f>IF(AD50=15,I50,0)</f>
        <v>0</v>
      </c>
      <c r="AB50" s="1">
        <f>IF(AD50=21,I50,0)</f>
        <v>0</v>
      </c>
      <c r="AD50" s="1">
        <v>21</v>
      </c>
      <c r="AE50" s="1">
        <f>F50*0</f>
        <v>0</v>
      </c>
      <c r="AF50" s="1">
        <f>F50*(1-0)</f>
        <v>0</v>
      </c>
    </row>
    <row r="51" spans="1:32" ht="12.75">
      <c r="A51" s="9"/>
      <c r="B51" s="9"/>
      <c r="C51" s="53" t="s">
        <v>277</v>
      </c>
      <c r="D51" s="9"/>
      <c r="E51" s="24"/>
      <c r="F51" s="24"/>
      <c r="G51" s="24"/>
      <c r="H51" s="24"/>
      <c r="I51" s="24"/>
      <c r="J51" s="24"/>
      <c r="K51" s="24"/>
      <c r="N51" s="5"/>
      <c r="O51" s="1"/>
      <c r="Z51" s="1"/>
      <c r="AA51" s="1"/>
      <c r="AB51" s="1"/>
      <c r="AD51" s="1"/>
      <c r="AE51" s="1"/>
      <c r="AF51" s="1"/>
    </row>
    <row r="52" spans="1:32" ht="12.75">
      <c r="A52" s="9"/>
      <c r="B52" s="9"/>
      <c r="C52" s="53" t="s">
        <v>278</v>
      </c>
      <c r="D52" s="9"/>
      <c r="E52" s="24"/>
      <c r="F52" s="24"/>
      <c r="G52" s="24"/>
      <c r="H52" s="24"/>
      <c r="I52" s="24"/>
      <c r="J52" s="24"/>
      <c r="K52" s="24"/>
      <c r="N52" s="5"/>
      <c r="O52" s="1"/>
      <c r="Z52" s="1"/>
      <c r="AA52" s="1"/>
      <c r="AB52" s="1"/>
      <c r="AD52" s="1"/>
      <c r="AE52" s="1"/>
      <c r="AF52" s="1"/>
    </row>
    <row r="53" spans="1:32" ht="12.75">
      <c r="A53" s="9"/>
      <c r="B53" s="9"/>
      <c r="C53" s="53" t="s">
        <v>279</v>
      </c>
      <c r="D53" s="9"/>
      <c r="E53" s="24"/>
      <c r="F53" s="24"/>
      <c r="G53" s="24"/>
      <c r="H53" s="24"/>
      <c r="I53" s="24"/>
      <c r="J53" s="24"/>
      <c r="K53" s="24"/>
      <c r="N53" s="5"/>
      <c r="O53" s="1"/>
      <c r="Z53" s="1"/>
      <c r="AA53" s="1"/>
      <c r="AB53" s="1"/>
      <c r="AD53" s="1"/>
      <c r="AE53" s="1"/>
      <c r="AF53" s="1"/>
    </row>
    <row r="54" spans="1:32" ht="12.75">
      <c r="A54" s="9"/>
      <c r="B54" s="9"/>
      <c r="C54" s="53" t="s">
        <v>280</v>
      </c>
      <c r="D54" s="9"/>
      <c r="E54" s="24"/>
      <c r="F54" s="24"/>
      <c r="G54" s="24"/>
      <c r="H54" s="24"/>
      <c r="I54" s="24"/>
      <c r="J54" s="24"/>
      <c r="K54" s="24"/>
      <c r="N54" s="5"/>
      <c r="O54" s="1"/>
      <c r="Z54" s="1"/>
      <c r="AA54" s="1"/>
      <c r="AB54" s="1"/>
      <c r="AD54" s="1"/>
      <c r="AE54" s="1"/>
      <c r="AF54" s="1"/>
    </row>
    <row r="55" spans="1:32" ht="12.75">
      <c r="A55" s="9"/>
      <c r="B55" s="9"/>
      <c r="C55" s="53" t="s">
        <v>281</v>
      </c>
      <c r="D55" s="9"/>
      <c r="E55" s="24"/>
      <c r="F55" s="24"/>
      <c r="G55" s="24"/>
      <c r="H55" s="24"/>
      <c r="I55" s="24"/>
      <c r="J55" s="24"/>
      <c r="K55" s="24"/>
      <c r="N55" s="5"/>
      <c r="O55" s="1"/>
      <c r="Z55" s="1"/>
      <c r="AA55" s="1"/>
      <c r="AB55" s="1"/>
      <c r="AD55" s="1"/>
      <c r="AE55" s="1"/>
      <c r="AF55" s="1"/>
    </row>
    <row r="56" spans="1:32" ht="12.75">
      <c r="A56" s="9"/>
      <c r="B56" s="9"/>
      <c r="C56" s="53" t="s">
        <v>282</v>
      </c>
      <c r="D56" s="9"/>
      <c r="E56" s="24"/>
      <c r="F56" s="24"/>
      <c r="G56" s="24"/>
      <c r="H56" s="24"/>
      <c r="I56" s="24"/>
      <c r="J56" s="24"/>
      <c r="K56" s="24"/>
      <c r="N56" s="5"/>
      <c r="O56" s="1"/>
      <c r="Z56" s="1"/>
      <c r="AA56" s="1"/>
      <c r="AB56" s="1"/>
      <c r="AD56" s="1"/>
      <c r="AE56" s="1"/>
      <c r="AF56" s="1"/>
    </row>
    <row r="57" spans="1:32" ht="12.75">
      <c r="A57" s="9"/>
      <c r="B57" s="9"/>
      <c r="C57" s="53" t="s">
        <v>283</v>
      </c>
      <c r="D57" s="9"/>
      <c r="E57" s="24"/>
      <c r="F57" s="24"/>
      <c r="G57" s="24"/>
      <c r="H57" s="24"/>
      <c r="I57" s="24"/>
      <c r="J57" s="24"/>
      <c r="K57" s="24"/>
      <c r="N57" s="5"/>
      <c r="O57" s="1"/>
      <c r="Z57" s="1"/>
      <c r="AA57" s="1"/>
      <c r="AB57" s="1"/>
      <c r="AD57" s="1"/>
      <c r="AE57" s="1"/>
      <c r="AF57" s="1"/>
    </row>
    <row r="58" spans="1:32" ht="12.75">
      <c r="A58" s="9"/>
      <c r="B58" s="9"/>
      <c r="C58" s="53" t="s">
        <v>284</v>
      </c>
      <c r="D58" s="9"/>
      <c r="E58" s="24"/>
      <c r="F58" s="24"/>
      <c r="G58" s="24"/>
      <c r="H58" s="24"/>
      <c r="I58" s="24"/>
      <c r="J58" s="24"/>
      <c r="K58" s="24"/>
      <c r="N58" s="5"/>
      <c r="O58" s="1"/>
      <c r="Z58" s="1"/>
      <c r="AA58" s="1"/>
      <c r="AB58" s="1"/>
      <c r="AD58" s="1"/>
      <c r="AE58" s="1"/>
      <c r="AF58" s="1"/>
    </row>
    <row r="59" spans="1:32" ht="12.75">
      <c r="A59" s="9"/>
      <c r="B59" s="9"/>
      <c r="C59" s="53" t="s">
        <v>279</v>
      </c>
      <c r="D59" s="9"/>
      <c r="E59" s="24"/>
      <c r="F59" s="24"/>
      <c r="G59" s="24"/>
      <c r="H59" s="24"/>
      <c r="I59" s="24"/>
      <c r="J59" s="24"/>
      <c r="K59" s="24"/>
      <c r="N59" s="5"/>
      <c r="O59" s="1"/>
      <c r="Z59" s="1"/>
      <c r="AA59" s="1"/>
      <c r="AB59" s="1"/>
      <c r="AD59" s="1"/>
      <c r="AE59" s="1"/>
      <c r="AF59" s="1"/>
    </row>
    <row r="60" spans="1:32" ht="12.75">
      <c r="A60" s="9"/>
      <c r="B60" s="9"/>
      <c r="C60" s="53" t="s">
        <v>285</v>
      </c>
      <c r="D60" s="9"/>
      <c r="E60" s="24"/>
      <c r="F60" s="24"/>
      <c r="G60" s="24"/>
      <c r="H60" s="24"/>
      <c r="I60" s="24"/>
      <c r="J60" s="24"/>
      <c r="K60" s="24"/>
      <c r="N60" s="5"/>
      <c r="O60" s="1"/>
      <c r="Z60" s="1"/>
      <c r="AA60" s="1"/>
      <c r="AB60" s="1"/>
      <c r="AD60" s="1"/>
      <c r="AE60" s="1"/>
      <c r="AF60" s="1"/>
    </row>
    <row r="61" spans="1:32" ht="12.75">
      <c r="A61" s="9"/>
      <c r="B61" s="9"/>
      <c r="C61" s="53" t="s">
        <v>286</v>
      </c>
      <c r="D61" s="9"/>
      <c r="E61" s="24"/>
      <c r="F61" s="24"/>
      <c r="G61" s="24"/>
      <c r="H61" s="24"/>
      <c r="I61" s="24"/>
      <c r="J61" s="24"/>
      <c r="K61" s="24"/>
      <c r="N61" s="5"/>
      <c r="O61" s="1"/>
      <c r="Z61" s="1"/>
      <c r="AA61" s="1"/>
      <c r="AB61" s="1"/>
      <c r="AD61" s="1"/>
      <c r="AE61" s="1"/>
      <c r="AF61" s="1"/>
    </row>
    <row r="62" spans="1:32" ht="12.75">
      <c r="A62" s="9"/>
      <c r="B62" s="9"/>
      <c r="C62" s="53" t="s">
        <v>287</v>
      </c>
      <c r="D62" s="9"/>
      <c r="E62" s="24"/>
      <c r="F62" s="24"/>
      <c r="G62" s="24"/>
      <c r="H62" s="24"/>
      <c r="I62" s="24"/>
      <c r="J62" s="24"/>
      <c r="K62" s="24"/>
      <c r="N62" s="5"/>
      <c r="O62" s="1"/>
      <c r="Z62" s="1"/>
      <c r="AA62" s="1"/>
      <c r="AB62" s="1"/>
      <c r="AD62" s="1"/>
      <c r="AE62" s="1"/>
      <c r="AF62" s="1"/>
    </row>
    <row r="63" spans="1:32" ht="12.75">
      <c r="A63" s="9"/>
      <c r="B63" s="9"/>
      <c r="C63" s="53" t="s">
        <v>288</v>
      </c>
      <c r="D63" s="9"/>
      <c r="E63" s="24"/>
      <c r="F63" s="24"/>
      <c r="G63" s="24"/>
      <c r="H63" s="24"/>
      <c r="I63" s="24"/>
      <c r="J63" s="24"/>
      <c r="K63" s="24"/>
      <c r="N63" s="5"/>
      <c r="O63" s="1"/>
      <c r="Z63" s="1"/>
      <c r="AA63" s="1"/>
      <c r="AB63" s="1"/>
      <c r="AD63" s="1"/>
      <c r="AE63" s="1"/>
      <c r="AF63" s="1"/>
    </row>
    <row r="64" spans="1:32" ht="12.75">
      <c r="A64" s="9"/>
      <c r="B64" s="9"/>
      <c r="C64" s="53" t="s">
        <v>289</v>
      </c>
      <c r="D64" s="9"/>
      <c r="E64" s="24"/>
      <c r="F64" s="24"/>
      <c r="G64" s="24"/>
      <c r="H64" s="24"/>
      <c r="I64" s="24"/>
      <c r="J64" s="24"/>
      <c r="K64" s="24"/>
      <c r="N64" s="5"/>
      <c r="O64" s="1"/>
      <c r="Z64" s="1"/>
      <c r="AA64" s="1"/>
      <c r="AB64" s="1"/>
      <c r="AD64" s="1"/>
      <c r="AE64" s="1"/>
      <c r="AF64" s="1"/>
    </row>
    <row r="65" spans="1:32" ht="12.75">
      <c r="A65" s="9"/>
      <c r="B65" s="9"/>
      <c r="C65" s="53" t="s">
        <v>290</v>
      </c>
      <c r="D65" s="9"/>
      <c r="E65" s="24"/>
      <c r="F65" s="24"/>
      <c r="G65" s="24"/>
      <c r="H65" s="24"/>
      <c r="I65" s="24"/>
      <c r="J65" s="24"/>
      <c r="K65" s="24"/>
      <c r="N65" s="5"/>
      <c r="O65" s="1"/>
      <c r="Z65" s="1"/>
      <c r="AA65" s="1"/>
      <c r="AB65" s="1"/>
      <c r="AD65" s="1"/>
      <c r="AE65" s="1"/>
      <c r="AF65" s="1"/>
    </row>
    <row r="66" spans="1:32" ht="12.75">
      <c r="A66" s="9"/>
      <c r="B66" s="9"/>
      <c r="C66" s="53" t="s">
        <v>291</v>
      </c>
      <c r="D66" s="9"/>
      <c r="E66" s="24"/>
      <c r="F66" s="24"/>
      <c r="G66" s="24"/>
      <c r="H66" s="24"/>
      <c r="I66" s="24"/>
      <c r="J66" s="24"/>
      <c r="K66" s="24"/>
      <c r="N66" s="5"/>
      <c r="O66" s="1"/>
      <c r="Z66" s="1"/>
      <c r="AA66" s="1"/>
      <c r="AB66" s="1"/>
      <c r="AD66" s="1"/>
      <c r="AE66" s="1"/>
      <c r="AF66" s="1"/>
    </row>
    <row r="67" spans="1:32" ht="12.75">
      <c r="A67" s="9"/>
      <c r="B67" s="9"/>
      <c r="C67" s="53" t="s">
        <v>292</v>
      </c>
      <c r="D67" s="9"/>
      <c r="E67" s="24"/>
      <c r="F67" s="24"/>
      <c r="G67" s="24"/>
      <c r="H67" s="24"/>
      <c r="I67" s="24"/>
      <c r="J67" s="24"/>
      <c r="K67" s="24"/>
      <c r="N67" s="5"/>
      <c r="O67" s="1"/>
      <c r="Z67" s="1"/>
      <c r="AA67" s="1"/>
      <c r="AB67" s="1"/>
      <c r="AD67" s="1"/>
      <c r="AE67" s="1"/>
      <c r="AF67" s="1"/>
    </row>
    <row r="68" spans="1:32" ht="12.75">
      <c r="A68" s="9"/>
      <c r="B68" s="9"/>
      <c r="C68" s="53" t="s">
        <v>293</v>
      </c>
      <c r="D68" s="9"/>
      <c r="E68" s="24"/>
      <c r="F68" s="24"/>
      <c r="G68" s="24"/>
      <c r="H68" s="24"/>
      <c r="I68" s="24"/>
      <c r="J68" s="24"/>
      <c r="K68" s="24"/>
      <c r="N68" s="5"/>
      <c r="O68" s="1"/>
      <c r="Z68" s="1"/>
      <c r="AA68" s="1"/>
      <c r="AB68" s="1"/>
      <c r="AD68" s="1"/>
      <c r="AE68" s="1"/>
      <c r="AF68" s="1"/>
    </row>
    <row r="69" spans="1:32" ht="12.75">
      <c r="A69" s="9"/>
      <c r="B69" s="9"/>
      <c r="C69" s="53" t="s">
        <v>294</v>
      </c>
      <c r="D69" s="9"/>
      <c r="E69" s="24"/>
      <c r="F69" s="24"/>
      <c r="G69" s="24"/>
      <c r="H69" s="24"/>
      <c r="I69" s="24"/>
      <c r="J69" s="24"/>
      <c r="K69" s="24"/>
      <c r="N69" s="5"/>
      <c r="O69" s="1"/>
      <c r="Z69" s="1"/>
      <c r="AA69" s="1"/>
      <c r="AB69" s="1"/>
      <c r="AD69" s="1"/>
      <c r="AE69" s="1"/>
      <c r="AF69" s="1"/>
    </row>
    <row r="70" spans="1:32" ht="12.75">
      <c r="A70" s="9"/>
      <c r="B70" s="9"/>
      <c r="C70" s="53" t="s">
        <v>295</v>
      </c>
      <c r="D70" s="9"/>
      <c r="E70" s="24"/>
      <c r="F70" s="24"/>
      <c r="G70" s="24"/>
      <c r="H70" s="24"/>
      <c r="I70" s="24"/>
      <c r="J70" s="24"/>
      <c r="K70" s="24"/>
      <c r="N70" s="5"/>
      <c r="O70" s="1"/>
      <c r="Z70" s="1"/>
      <c r="AA70" s="1"/>
      <c r="AB70" s="1"/>
      <c r="AD70" s="1"/>
      <c r="AE70" s="1"/>
      <c r="AF70" s="1"/>
    </row>
    <row r="71" spans="1:32" ht="12.75">
      <c r="A71" s="9"/>
      <c r="B71" s="9"/>
      <c r="C71" s="53" t="s">
        <v>296</v>
      </c>
      <c r="D71" s="9"/>
      <c r="E71" s="24"/>
      <c r="F71" s="24"/>
      <c r="G71" s="24"/>
      <c r="H71" s="24"/>
      <c r="I71" s="24"/>
      <c r="J71" s="24"/>
      <c r="K71" s="24"/>
      <c r="N71" s="5"/>
      <c r="O71" s="1"/>
      <c r="Z71" s="1"/>
      <c r="AA71" s="1"/>
      <c r="AB71" s="1"/>
      <c r="AD71" s="1"/>
      <c r="AE71" s="1"/>
      <c r="AF71" s="1"/>
    </row>
    <row r="72" spans="1:32" ht="12.75">
      <c r="A72" s="9"/>
      <c r="B72" s="9"/>
      <c r="C72" s="53" t="s">
        <v>297</v>
      </c>
      <c r="D72" s="9"/>
      <c r="E72" s="24"/>
      <c r="F72" s="24"/>
      <c r="G72" s="24"/>
      <c r="H72" s="24"/>
      <c r="I72" s="24"/>
      <c r="J72" s="24"/>
      <c r="K72" s="24"/>
      <c r="N72" s="5"/>
      <c r="O72" s="1"/>
      <c r="Z72" s="1"/>
      <c r="AA72" s="1"/>
      <c r="AB72" s="1"/>
      <c r="AD72" s="1"/>
      <c r="AE72" s="1"/>
      <c r="AF72" s="1"/>
    </row>
    <row r="73" spans="1:32" ht="12.75">
      <c r="A73" s="9"/>
      <c r="B73" s="9"/>
      <c r="C73" s="53" t="s">
        <v>298</v>
      </c>
      <c r="D73" s="9"/>
      <c r="E73" s="24"/>
      <c r="F73" s="24"/>
      <c r="G73" s="24"/>
      <c r="H73" s="24"/>
      <c r="I73" s="24"/>
      <c r="J73" s="24"/>
      <c r="K73" s="24"/>
      <c r="N73" s="5"/>
      <c r="O73" s="1"/>
      <c r="Z73" s="1"/>
      <c r="AA73" s="1"/>
      <c r="AB73" s="1"/>
      <c r="AD73" s="1"/>
      <c r="AE73" s="1"/>
      <c r="AF73" s="1"/>
    </row>
    <row r="74" spans="1:32" ht="22.5">
      <c r="A74" s="9" t="s">
        <v>18</v>
      </c>
      <c r="B74" s="9" t="s">
        <v>81</v>
      </c>
      <c r="C74" s="34" t="s">
        <v>441</v>
      </c>
      <c r="D74" s="9" t="s">
        <v>223</v>
      </c>
      <c r="E74" s="24">
        <v>31.68</v>
      </c>
      <c r="F74" s="24"/>
      <c r="G74" s="24"/>
      <c r="H74" s="24"/>
      <c r="I74" s="24"/>
      <c r="J74" s="24">
        <v>0.01249</v>
      </c>
      <c r="K74" s="24">
        <f>E74*J74</f>
        <v>0.39568319999999996</v>
      </c>
      <c r="N74" s="5" t="s">
        <v>7</v>
      </c>
      <c r="O74" s="1">
        <f>IF(N74="5",H74,0)</f>
        <v>0</v>
      </c>
      <c r="Z74" s="1">
        <f>IF(AD74=0,I74,0)</f>
        <v>0</v>
      </c>
      <c r="AA74" s="1">
        <f>IF(AD74=15,I74,0)</f>
        <v>0</v>
      </c>
      <c r="AB74" s="1">
        <f>IF(AD74=21,I74,0)</f>
        <v>0</v>
      </c>
      <c r="AD74" s="1">
        <v>21</v>
      </c>
      <c r="AE74" s="1">
        <f>F74*0.544341112475873</f>
        <v>0</v>
      </c>
      <c r="AF74" s="1">
        <f>F74*(1-0.544341112475873)</f>
        <v>0</v>
      </c>
    </row>
    <row r="75" spans="1:32" ht="12.75">
      <c r="A75" s="9"/>
      <c r="B75" s="9"/>
      <c r="C75" s="53" t="s">
        <v>299</v>
      </c>
      <c r="D75" s="9"/>
      <c r="E75" s="24"/>
      <c r="F75" s="24"/>
      <c r="G75" s="24"/>
      <c r="H75" s="24"/>
      <c r="I75" s="24"/>
      <c r="J75" s="24"/>
      <c r="K75" s="24"/>
      <c r="N75" s="5"/>
      <c r="O75" s="1"/>
      <c r="Z75" s="1"/>
      <c r="AA75" s="1"/>
      <c r="AB75" s="1"/>
      <c r="AD75" s="1"/>
      <c r="AE75" s="1"/>
      <c r="AF75" s="1"/>
    </row>
    <row r="76" spans="1:32" ht="12.75">
      <c r="A76" s="9"/>
      <c r="B76" s="9"/>
      <c r="C76" s="53" t="s">
        <v>300</v>
      </c>
      <c r="D76" s="9"/>
      <c r="E76" s="24"/>
      <c r="F76" s="24"/>
      <c r="G76" s="24"/>
      <c r="H76" s="24"/>
      <c r="I76" s="24"/>
      <c r="J76" s="24"/>
      <c r="K76" s="24"/>
      <c r="N76" s="5"/>
      <c r="O76" s="1"/>
      <c r="Z76" s="1"/>
      <c r="AA76" s="1"/>
      <c r="AB76" s="1"/>
      <c r="AD76" s="1"/>
      <c r="AE76" s="1"/>
      <c r="AF76" s="1"/>
    </row>
    <row r="77" spans="1:32" ht="12.75">
      <c r="A77" s="9" t="s">
        <v>19</v>
      </c>
      <c r="B77" s="9" t="s">
        <v>82</v>
      </c>
      <c r="C77" s="9" t="s">
        <v>158</v>
      </c>
      <c r="D77" s="9" t="s">
        <v>223</v>
      </c>
      <c r="E77" s="24">
        <v>283.81</v>
      </c>
      <c r="F77" s="24"/>
      <c r="G77" s="24"/>
      <c r="H77" s="24"/>
      <c r="I77" s="24"/>
      <c r="J77" s="24">
        <v>0.03555</v>
      </c>
      <c r="K77" s="24">
        <f>E77*J77</f>
        <v>10.0894455</v>
      </c>
      <c r="N77" s="5" t="s">
        <v>7</v>
      </c>
      <c r="O77" s="1">
        <f>IF(N77="5",H77,0)</f>
        <v>0</v>
      </c>
      <c r="Z77" s="1">
        <f>IF(AD77=0,I77,0)</f>
        <v>0</v>
      </c>
      <c r="AA77" s="1">
        <f>IF(AD77=15,I77,0)</f>
        <v>0</v>
      </c>
      <c r="AB77" s="1">
        <f>IF(AD77=21,I77,0)</f>
        <v>0</v>
      </c>
      <c r="AD77" s="1">
        <v>21</v>
      </c>
      <c r="AE77" s="1">
        <f>F77*0.505469301340861</f>
        <v>0</v>
      </c>
      <c r="AF77" s="1">
        <f>F77*(1-0.505469301340861)</f>
        <v>0</v>
      </c>
    </row>
    <row r="78" spans="1:32" ht="12.75">
      <c r="A78" s="9"/>
      <c r="B78" s="9"/>
      <c r="C78" s="53" t="s">
        <v>301</v>
      </c>
      <c r="D78" s="9"/>
      <c r="E78" s="24"/>
      <c r="F78" s="24"/>
      <c r="G78" s="24"/>
      <c r="H78" s="24"/>
      <c r="I78" s="24"/>
      <c r="J78" s="24"/>
      <c r="K78" s="24"/>
      <c r="N78" s="5"/>
      <c r="O78" s="1"/>
      <c r="Z78" s="1"/>
      <c r="AA78" s="1"/>
      <c r="AB78" s="1"/>
      <c r="AD78" s="1"/>
      <c r="AE78" s="1"/>
      <c r="AF78" s="1"/>
    </row>
    <row r="79" spans="1:32" ht="12.75">
      <c r="A79" s="9"/>
      <c r="B79" s="9"/>
      <c r="C79" s="53" t="s">
        <v>294</v>
      </c>
      <c r="D79" s="9"/>
      <c r="E79" s="24"/>
      <c r="F79" s="24"/>
      <c r="G79" s="24"/>
      <c r="H79" s="24"/>
      <c r="I79" s="24"/>
      <c r="J79" s="24"/>
      <c r="K79" s="24"/>
      <c r="N79" s="5"/>
      <c r="O79" s="1"/>
      <c r="Z79" s="1"/>
      <c r="AA79" s="1"/>
      <c r="AB79" s="1"/>
      <c r="AD79" s="1"/>
      <c r="AE79" s="1"/>
      <c r="AF79" s="1"/>
    </row>
    <row r="80" spans="1:32" ht="12.75">
      <c r="A80" s="9"/>
      <c r="B80" s="9"/>
      <c r="C80" s="53" t="s">
        <v>302</v>
      </c>
      <c r="D80" s="9"/>
      <c r="E80" s="24"/>
      <c r="F80" s="24"/>
      <c r="G80" s="24"/>
      <c r="H80" s="24"/>
      <c r="I80" s="24"/>
      <c r="J80" s="24"/>
      <c r="K80" s="24"/>
      <c r="N80" s="5"/>
      <c r="O80" s="1"/>
      <c r="Z80" s="1"/>
      <c r="AA80" s="1"/>
      <c r="AB80" s="1"/>
      <c r="AD80" s="1"/>
      <c r="AE80" s="1"/>
      <c r="AF80" s="1"/>
    </row>
    <row r="81" spans="1:32" ht="12.75">
      <c r="A81" s="9"/>
      <c r="B81" s="9"/>
      <c r="C81" s="53" t="s">
        <v>286</v>
      </c>
      <c r="D81" s="9"/>
      <c r="E81" s="24"/>
      <c r="F81" s="24"/>
      <c r="G81" s="24"/>
      <c r="H81" s="24"/>
      <c r="I81" s="24"/>
      <c r="J81" s="24"/>
      <c r="K81" s="24"/>
      <c r="N81" s="5"/>
      <c r="O81" s="1"/>
      <c r="Z81" s="1"/>
      <c r="AA81" s="1"/>
      <c r="AB81" s="1"/>
      <c r="AD81" s="1"/>
      <c r="AE81" s="1"/>
      <c r="AF81" s="1"/>
    </row>
    <row r="82" spans="1:32" ht="12.75">
      <c r="A82" s="9"/>
      <c r="B82" s="9"/>
      <c r="C82" s="53" t="s">
        <v>303</v>
      </c>
      <c r="D82" s="9"/>
      <c r="E82" s="24"/>
      <c r="F82" s="24"/>
      <c r="G82" s="24"/>
      <c r="H82" s="24"/>
      <c r="I82" s="24"/>
      <c r="J82" s="24"/>
      <c r="K82" s="24"/>
      <c r="N82" s="5"/>
      <c r="O82" s="1"/>
      <c r="Z82" s="1"/>
      <c r="AA82" s="1"/>
      <c r="AB82" s="1"/>
      <c r="AD82" s="1"/>
      <c r="AE82" s="1"/>
      <c r="AF82" s="1"/>
    </row>
    <row r="83" spans="1:32" ht="12.75">
      <c r="A83" s="9"/>
      <c r="B83" s="9"/>
      <c r="C83" s="53" t="s">
        <v>304</v>
      </c>
      <c r="D83" s="9"/>
      <c r="E83" s="24"/>
      <c r="F83" s="24"/>
      <c r="G83" s="24"/>
      <c r="H83" s="24"/>
      <c r="I83" s="24"/>
      <c r="J83" s="24"/>
      <c r="K83" s="24"/>
      <c r="N83" s="5"/>
      <c r="O83" s="1"/>
      <c r="Z83" s="1"/>
      <c r="AA83" s="1"/>
      <c r="AB83" s="1"/>
      <c r="AD83" s="1"/>
      <c r="AE83" s="1"/>
      <c r="AF83" s="1"/>
    </row>
    <row r="84" spans="1:32" ht="12.75">
      <c r="A84" s="9"/>
      <c r="B84" s="9"/>
      <c r="C84" s="53" t="s">
        <v>305</v>
      </c>
      <c r="D84" s="9"/>
      <c r="E84" s="24"/>
      <c r="F84" s="24"/>
      <c r="G84" s="24"/>
      <c r="H84" s="24"/>
      <c r="I84" s="24"/>
      <c r="J84" s="24"/>
      <c r="K84" s="24"/>
      <c r="N84" s="5"/>
      <c r="O84" s="1"/>
      <c r="Z84" s="1"/>
      <c r="AA84" s="1"/>
      <c r="AB84" s="1"/>
      <c r="AD84" s="1"/>
      <c r="AE84" s="1"/>
      <c r="AF84" s="1"/>
    </row>
    <row r="85" spans="1:32" ht="12.75">
      <c r="A85" s="9"/>
      <c r="B85" s="9"/>
      <c r="C85" s="53" t="s">
        <v>283</v>
      </c>
      <c r="D85" s="9"/>
      <c r="E85" s="24"/>
      <c r="F85" s="24"/>
      <c r="G85" s="24"/>
      <c r="H85" s="24"/>
      <c r="I85" s="24"/>
      <c r="J85" s="24"/>
      <c r="K85" s="24"/>
      <c r="N85" s="5"/>
      <c r="O85" s="1"/>
      <c r="Z85" s="1"/>
      <c r="AA85" s="1"/>
      <c r="AB85" s="1"/>
      <c r="AD85" s="1"/>
      <c r="AE85" s="1"/>
      <c r="AF85" s="1"/>
    </row>
    <row r="86" spans="1:32" ht="12.75">
      <c r="A86" s="9"/>
      <c r="B86" s="9"/>
      <c r="C86" s="53" t="s">
        <v>306</v>
      </c>
      <c r="D86" s="9"/>
      <c r="E86" s="24"/>
      <c r="F86" s="24"/>
      <c r="G86" s="24"/>
      <c r="H86" s="24"/>
      <c r="I86" s="24"/>
      <c r="J86" s="24"/>
      <c r="K86" s="24"/>
      <c r="N86" s="5"/>
      <c r="O86" s="1"/>
      <c r="Z86" s="1"/>
      <c r="AA86" s="1"/>
      <c r="AB86" s="1"/>
      <c r="AD86" s="1"/>
      <c r="AE86" s="1"/>
      <c r="AF86" s="1"/>
    </row>
    <row r="87" spans="1:32" ht="12.75">
      <c r="A87" s="9"/>
      <c r="B87" s="9"/>
      <c r="C87" s="53" t="s">
        <v>286</v>
      </c>
      <c r="D87" s="9"/>
      <c r="E87" s="24"/>
      <c r="F87" s="24"/>
      <c r="G87" s="24"/>
      <c r="H87" s="24"/>
      <c r="I87" s="24"/>
      <c r="J87" s="24"/>
      <c r="K87" s="24"/>
      <c r="N87" s="5"/>
      <c r="O87" s="1"/>
      <c r="Z87" s="1"/>
      <c r="AA87" s="1"/>
      <c r="AB87" s="1"/>
      <c r="AD87" s="1"/>
      <c r="AE87" s="1"/>
      <c r="AF87" s="1"/>
    </row>
    <row r="88" spans="1:32" ht="12.75">
      <c r="A88" s="9"/>
      <c r="B88" s="9"/>
      <c r="C88" s="53" t="s">
        <v>307</v>
      </c>
      <c r="D88" s="9"/>
      <c r="E88" s="24"/>
      <c r="F88" s="24"/>
      <c r="G88" s="24"/>
      <c r="H88" s="24"/>
      <c r="I88" s="24"/>
      <c r="J88" s="24"/>
      <c r="K88" s="24"/>
      <c r="N88" s="5"/>
      <c r="O88" s="1"/>
      <c r="Z88" s="1"/>
      <c r="AA88" s="1"/>
      <c r="AB88" s="1"/>
      <c r="AD88" s="1"/>
      <c r="AE88" s="1"/>
      <c r="AF88" s="1"/>
    </row>
    <row r="89" spans="1:32" ht="12.75">
      <c r="A89" s="9"/>
      <c r="B89" s="9"/>
      <c r="C89" s="53" t="s">
        <v>308</v>
      </c>
      <c r="D89" s="9"/>
      <c r="E89" s="24"/>
      <c r="F89" s="24"/>
      <c r="G89" s="24"/>
      <c r="H89" s="24"/>
      <c r="I89" s="24"/>
      <c r="J89" s="24"/>
      <c r="K89" s="24"/>
      <c r="N89" s="5"/>
      <c r="O89" s="1"/>
      <c r="Z89" s="1"/>
      <c r="AA89" s="1"/>
      <c r="AB89" s="1"/>
      <c r="AD89" s="1"/>
      <c r="AE89" s="1"/>
      <c r="AF89" s="1"/>
    </row>
    <row r="90" spans="1:32" ht="12.75">
      <c r="A90" s="9"/>
      <c r="B90" s="9"/>
      <c r="C90" s="53" t="s">
        <v>309</v>
      </c>
      <c r="D90" s="9"/>
      <c r="E90" s="24"/>
      <c r="F90" s="24"/>
      <c r="G90" s="24"/>
      <c r="H90" s="24"/>
      <c r="I90" s="24"/>
      <c r="J90" s="24"/>
      <c r="K90" s="24"/>
      <c r="N90" s="5"/>
      <c r="O90" s="1"/>
      <c r="Z90" s="1"/>
      <c r="AA90" s="1"/>
      <c r="AB90" s="1"/>
      <c r="AD90" s="1"/>
      <c r="AE90" s="1"/>
      <c r="AF90" s="1"/>
    </row>
    <row r="91" spans="1:32" ht="12.75">
      <c r="A91" s="9"/>
      <c r="B91" s="9"/>
      <c r="C91" s="53" t="s">
        <v>36</v>
      </c>
      <c r="D91" s="9"/>
      <c r="E91" s="24"/>
      <c r="F91" s="24"/>
      <c r="G91" s="24"/>
      <c r="H91" s="24"/>
      <c r="I91" s="24"/>
      <c r="J91" s="24"/>
      <c r="K91" s="24"/>
      <c r="N91" s="5"/>
      <c r="O91" s="1"/>
      <c r="Z91" s="1"/>
      <c r="AA91" s="1"/>
      <c r="AB91" s="1"/>
      <c r="AD91" s="1"/>
      <c r="AE91" s="1"/>
      <c r="AF91" s="1"/>
    </row>
    <row r="92" spans="1:32" ht="12.75">
      <c r="A92" s="9"/>
      <c r="B92" s="9"/>
      <c r="C92" s="53" t="s">
        <v>310</v>
      </c>
      <c r="D92" s="9"/>
      <c r="E92" s="24"/>
      <c r="F92" s="24"/>
      <c r="G92" s="24"/>
      <c r="H92" s="24"/>
      <c r="I92" s="24"/>
      <c r="J92" s="24"/>
      <c r="K92" s="24"/>
      <c r="N92" s="5"/>
      <c r="O92" s="1"/>
      <c r="Z92" s="1"/>
      <c r="AA92" s="1"/>
      <c r="AB92" s="1"/>
      <c r="AD92" s="1"/>
      <c r="AE92" s="1"/>
      <c r="AF92" s="1"/>
    </row>
    <row r="93" spans="1:32" ht="12.75">
      <c r="A93" s="9"/>
      <c r="B93" s="9"/>
      <c r="C93" s="53" t="s">
        <v>61</v>
      </c>
      <c r="D93" s="9"/>
      <c r="E93" s="24"/>
      <c r="F93" s="24"/>
      <c r="G93" s="24"/>
      <c r="H93" s="24"/>
      <c r="I93" s="24"/>
      <c r="J93" s="24"/>
      <c r="K93" s="24"/>
      <c r="N93" s="5"/>
      <c r="O93" s="1"/>
      <c r="Z93" s="1"/>
      <c r="AA93" s="1"/>
      <c r="AB93" s="1"/>
      <c r="AD93" s="1"/>
      <c r="AE93" s="1"/>
      <c r="AF93" s="1"/>
    </row>
    <row r="94" spans="1:32" ht="12.75">
      <c r="A94" s="9" t="s">
        <v>20</v>
      </c>
      <c r="B94" s="9" t="s">
        <v>83</v>
      </c>
      <c r="C94" s="9" t="s">
        <v>442</v>
      </c>
      <c r="D94" s="9" t="s">
        <v>223</v>
      </c>
      <c r="E94" s="24">
        <v>52.98</v>
      </c>
      <c r="F94" s="24"/>
      <c r="G94" s="24"/>
      <c r="H94" s="24"/>
      <c r="I94" s="24"/>
      <c r="J94" s="24">
        <v>0.00096</v>
      </c>
      <c r="K94" s="24">
        <f>E94*J94</f>
        <v>0.0508608</v>
      </c>
      <c r="N94" s="5" t="s">
        <v>7</v>
      </c>
      <c r="O94" s="1">
        <f>IF(N94="5",H94,0)</f>
        <v>0</v>
      </c>
      <c r="Z94" s="1">
        <f>IF(AD94=0,I94,0)</f>
        <v>0</v>
      </c>
      <c r="AA94" s="1">
        <f>IF(AD94=15,I94,0)</f>
        <v>0</v>
      </c>
      <c r="AB94" s="1">
        <f>IF(AD94=21,I94,0)</f>
        <v>0</v>
      </c>
      <c r="AD94" s="1">
        <v>21</v>
      </c>
      <c r="AE94" s="1">
        <f>F94*0.301472727272727</f>
        <v>0</v>
      </c>
      <c r="AF94" s="1">
        <f>F94*(1-0.301472727272727)</f>
        <v>0</v>
      </c>
    </row>
    <row r="95" spans="1:32" ht="12.75">
      <c r="A95" s="9"/>
      <c r="B95" s="9"/>
      <c r="C95" s="53" t="s">
        <v>311</v>
      </c>
      <c r="D95" s="9"/>
      <c r="E95" s="24"/>
      <c r="F95" s="24"/>
      <c r="G95" s="24"/>
      <c r="H95" s="24"/>
      <c r="I95" s="24"/>
      <c r="J95" s="24"/>
      <c r="K95" s="24"/>
      <c r="N95" s="5"/>
      <c r="O95" s="1"/>
      <c r="Z95" s="1"/>
      <c r="AA95" s="1"/>
      <c r="AB95" s="1"/>
      <c r="AD95" s="1"/>
      <c r="AE95" s="1"/>
      <c r="AF95" s="1"/>
    </row>
    <row r="96" spans="1:32" ht="12.75">
      <c r="A96" s="9"/>
      <c r="B96" s="9"/>
      <c r="C96" s="53" t="s">
        <v>312</v>
      </c>
      <c r="D96" s="9"/>
      <c r="E96" s="24"/>
      <c r="F96" s="24"/>
      <c r="G96" s="24"/>
      <c r="H96" s="24"/>
      <c r="I96" s="24"/>
      <c r="J96" s="24"/>
      <c r="K96" s="24"/>
      <c r="N96" s="5"/>
      <c r="O96" s="1"/>
      <c r="Z96" s="1"/>
      <c r="AA96" s="1"/>
      <c r="AB96" s="1"/>
      <c r="AD96" s="1"/>
      <c r="AE96" s="1"/>
      <c r="AF96" s="1"/>
    </row>
    <row r="97" spans="1:32" ht="12.75">
      <c r="A97" s="9"/>
      <c r="B97" s="9"/>
      <c r="C97" s="53" t="s">
        <v>286</v>
      </c>
      <c r="D97" s="9"/>
      <c r="E97" s="24"/>
      <c r="F97" s="24"/>
      <c r="G97" s="24"/>
      <c r="H97" s="24"/>
      <c r="I97" s="24"/>
      <c r="J97" s="24"/>
      <c r="K97" s="24"/>
      <c r="N97" s="5"/>
      <c r="O97" s="1"/>
      <c r="Z97" s="1"/>
      <c r="AA97" s="1"/>
      <c r="AB97" s="1"/>
      <c r="AD97" s="1"/>
      <c r="AE97" s="1"/>
      <c r="AF97" s="1"/>
    </row>
    <row r="98" spans="1:32" ht="12.75">
      <c r="A98" s="9"/>
      <c r="B98" s="9"/>
      <c r="C98" s="53" t="s">
        <v>313</v>
      </c>
      <c r="D98" s="9"/>
      <c r="E98" s="24"/>
      <c r="F98" s="24"/>
      <c r="G98" s="24"/>
      <c r="H98" s="24"/>
      <c r="I98" s="24"/>
      <c r="J98" s="24"/>
      <c r="K98" s="24"/>
      <c r="N98" s="5"/>
      <c r="O98" s="1"/>
      <c r="Z98" s="1"/>
      <c r="AA98" s="1"/>
      <c r="AB98" s="1"/>
      <c r="AD98" s="1"/>
      <c r="AE98" s="1"/>
      <c r="AF98" s="1"/>
    </row>
    <row r="99" spans="1:32" ht="12.75">
      <c r="A99" s="9" t="s">
        <v>21</v>
      </c>
      <c r="B99" s="9" t="s">
        <v>83</v>
      </c>
      <c r="C99" s="9" t="s">
        <v>443</v>
      </c>
      <c r="D99" s="9" t="s">
        <v>223</v>
      </c>
      <c r="E99" s="24">
        <v>16.42</v>
      </c>
      <c r="F99" s="24"/>
      <c r="G99" s="24"/>
      <c r="H99" s="24"/>
      <c r="I99" s="24"/>
      <c r="J99" s="24">
        <v>0.00096</v>
      </c>
      <c r="K99" s="24">
        <f>E99*J99</f>
        <v>0.0157632</v>
      </c>
      <c r="N99" s="5" t="s">
        <v>7</v>
      </c>
      <c r="O99" s="1">
        <f>IF(N99="5",H99,0)</f>
        <v>0</v>
      </c>
      <c r="Z99" s="1">
        <f>IF(AD99=0,I99,0)</f>
        <v>0</v>
      </c>
      <c r="AA99" s="1">
        <f>IF(AD99=15,I99,0)</f>
        <v>0</v>
      </c>
      <c r="AB99" s="1">
        <f>IF(AD99=21,I99,0)</f>
        <v>0</v>
      </c>
      <c r="AD99" s="1">
        <v>21</v>
      </c>
      <c r="AE99" s="1">
        <f>F99*0.30145</f>
        <v>0</v>
      </c>
      <c r="AF99" s="1">
        <f>F99*(1-0.30145)</f>
        <v>0</v>
      </c>
    </row>
    <row r="100" spans="1:32" ht="12.75">
      <c r="A100" s="9"/>
      <c r="B100" s="9"/>
      <c r="C100" s="53" t="s">
        <v>314</v>
      </c>
      <c r="D100" s="9"/>
      <c r="E100" s="24"/>
      <c r="F100" s="24"/>
      <c r="G100" s="24"/>
      <c r="H100" s="24"/>
      <c r="I100" s="24"/>
      <c r="J100" s="24"/>
      <c r="K100" s="24"/>
      <c r="N100" s="5"/>
      <c r="O100" s="1"/>
      <c r="Z100" s="1"/>
      <c r="AA100" s="1"/>
      <c r="AB100" s="1"/>
      <c r="AD100" s="1"/>
      <c r="AE100" s="1"/>
      <c r="AF100" s="1"/>
    </row>
    <row r="101" spans="1:32" ht="12.75">
      <c r="A101" s="9" t="s">
        <v>22</v>
      </c>
      <c r="B101" s="9" t="s">
        <v>83</v>
      </c>
      <c r="C101" s="9" t="s">
        <v>444</v>
      </c>
      <c r="D101" s="9" t="s">
        <v>223</v>
      </c>
      <c r="E101" s="24">
        <v>54.72</v>
      </c>
      <c r="F101" s="24"/>
      <c r="G101" s="24"/>
      <c r="H101" s="24"/>
      <c r="I101" s="24"/>
      <c r="J101" s="24">
        <v>0.00096</v>
      </c>
      <c r="K101" s="24">
        <f>E101*J101</f>
        <v>0.0525312</v>
      </c>
      <c r="N101" s="5" t="s">
        <v>7</v>
      </c>
      <c r="O101" s="1">
        <f>IF(N101="5",H101,0)</f>
        <v>0</v>
      </c>
      <c r="Z101" s="1">
        <f>IF(AD101=0,I101,0)</f>
        <v>0</v>
      </c>
      <c r="AA101" s="1">
        <f>IF(AD101=15,I101,0)</f>
        <v>0</v>
      </c>
      <c r="AB101" s="1">
        <f>IF(AD101=21,I101,0)</f>
        <v>0</v>
      </c>
      <c r="AD101" s="1">
        <v>21</v>
      </c>
      <c r="AE101" s="1">
        <f>F101*0.301457142857143</f>
        <v>0</v>
      </c>
      <c r="AF101" s="1">
        <f>F101*(1-0.301457142857143)</f>
        <v>0</v>
      </c>
    </row>
    <row r="102" spans="1:32" ht="12.75">
      <c r="A102" s="9"/>
      <c r="B102" s="9"/>
      <c r="C102" s="53" t="s">
        <v>277</v>
      </c>
      <c r="D102" s="9"/>
      <c r="E102" s="24"/>
      <c r="F102" s="24"/>
      <c r="G102" s="24"/>
      <c r="H102" s="24"/>
      <c r="I102" s="24"/>
      <c r="J102" s="24"/>
      <c r="K102" s="24"/>
      <c r="N102" s="5"/>
      <c r="O102" s="1"/>
      <c r="Z102" s="1"/>
      <c r="AA102" s="1"/>
      <c r="AB102" s="1"/>
      <c r="AD102" s="1"/>
      <c r="AE102" s="1"/>
      <c r="AF102" s="1"/>
    </row>
    <row r="103" spans="1:32" ht="12.75">
      <c r="A103" s="9"/>
      <c r="B103" s="9"/>
      <c r="C103" s="53" t="s">
        <v>315</v>
      </c>
      <c r="D103" s="9"/>
      <c r="E103" s="24"/>
      <c r="F103" s="24"/>
      <c r="G103" s="24"/>
      <c r="H103" s="24"/>
      <c r="I103" s="24"/>
      <c r="J103" s="24"/>
      <c r="K103" s="24"/>
      <c r="N103" s="5"/>
      <c r="O103" s="1"/>
      <c r="Z103" s="1"/>
      <c r="AA103" s="1"/>
      <c r="AB103" s="1"/>
      <c r="AD103" s="1"/>
      <c r="AE103" s="1"/>
      <c r="AF103" s="1"/>
    </row>
    <row r="104" spans="1:32" ht="12.75">
      <c r="A104" s="9"/>
      <c r="B104" s="9"/>
      <c r="C104" s="53" t="s">
        <v>316</v>
      </c>
      <c r="D104" s="9"/>
      <c r="E104" s="24"/>
      <c r="F104" s="24"/>
      <c r="G104" s="24"/>
      <c r="H104" s="24"/>
      <c r="I104" s="24"/>
      <c r="J104" s="24"/>
      <c r="K104" s="24"/>
      <c r="N104" s="5"/>
      <c r="O104" s="1"/>
      <c r="Z104" s="1"/>
      <c r="AA104" s="1"/>
      <c r="AB104" s="1"/>
      <c r="AD104" s="1"/>
      <c r="AE104" s="1"/>
      <c r="AF104" s="1"/>
    </row>
    <row r="105" spans="1:32" ht="12.75">
      <c r="A105" s="9"/>
      <c r="B105" s="9"/>
      <c r="C105" s="53" t="s">
        <v>317</v>
      </c>
      <c r="D105" s="9"/>
      <c r="E105" s="24"/>
      <c r="F105" s="24"/>
      <c r="G105" s="24"/>
      <c r="H105" s="24"/>
      <c r="I105" s="24"/>
      <c r="J105" s="24"/>
      <c r="K105" s="24"/>
      <c r="N105" s="5"/>
      <c r="O105" s="1"/>
      <c r="Z105" s="1"/>
      <c r="AA105" s="1"/>
      <c r="AB105" s="1"/>
      <c r="AD105" s="1"/>
      <c r="AE105" s="1"/>
      <c r="AF105" s="1"/>
    </row>
    <row r="106" spans="1:32" ht="12.75">
      <c r="A106" s="9" t="s">
        <v>23</v>
      </c>
      <c r="B106" s="9" t="s">
        <v>84</v>
      </c>
      <c r="C106" s="9" t="s">
        <v>445</v>
      </c>
      <c r="D106" s="9" t="s">
        <v>223</v>
      </c>
      <c r="E106" s="24">
        <v>48.53</v>
      </c>
      <c r="F106" s="24"/>
      <c r="G106" s="24"/>
      <c r="H106" s="24"/>
      <c r="I106" s="24"/>
      <c r="J106" s="24">
        <v>0.01162</v>
      </c>
      <c r="K106" s="24">
        <f>E106*J106</f>
        <v>0.5639186</v>
      </c>
      <c r="N106" s="5" t="s">
        <v>7</v>
      </c>
      <c r="O106" s="1">
        <f>IF(N106="5",H106,0)</f>
        <v>0</v>
      </c>
      <c r="Z106" s="1">
        <f>IF(AD106=0,I106,0)</f>
        <v>0</v>
      </c>
      <c r="AA106" s="1">
        <f>IF(AD106=15,I106,0)</f>
        <v>0</v>
      </c>
      <c r="AB106" s="1">
        <f>IF(AD106=21,I106,0)</f>
        <v>0</v>
      </c>
      <c r="AD106" s="1">
        <v>21</v>
      </c>
      <c r="AE106" s="1">
        <f>F106*0.562120126643711</f>
        <v>0</v>
      </c>
      <c r="AF106" s="1">
        <f>F106*(1-0.562120126643711)</f>
        <v>0</v>
      </c>
    </row>
    <row r="107" spans="1:32" ht="12.75">
      <c r="A107" s="9"/>
      <c r="B107" s="9"/>
      <c r="C107" s="53" t="s">
        <v>318</v>
      </c>
      <c r="D107" s="9"/>
      <c r="E107" s="24"/>
      <c r="F107" s="24"/>
      <c r="G107" s="24"/>
      <c r="H107" s="24"/>
      <c r="I107" s="24"/>
      <c r="J107" s="24"/>
      <c r="K107" s="24"/>
      <c r="N107" s="5"/>
      <c r="O107" s="1"/>
      <c r="Z107" s="1"/>
      <c r="AA107" s="1"/>
      <c r="AB107" s="1"/>
      <c r="AD107" s="1"/>
      <c r="AE107" s="1"/>
      <c r="AF107" s="1"/>
    </row>
    <row r="108" spans="1:32" ht="12.75">
      <c r="A108" s="9"/>
      <c r="B108" s="9"/>
      <c r="C108" s="53" t="s">
        <v>319</v>
      </c>
      <c r="D108" s="9"/>
      <c r="E108" s="24"/>
      <c r="F108" s="24"/>
      <c r="G108" s="24"/>
      <c r="H108" s="24"/>
      <c r="I108" s="24"/>
      <c r="J108" s="24"/>
      <c r="K108" s="24"/>
      <c r="N108" s="5"/>
      <c r="O108" s="1"/>
      <c r="Z108" s="1"/>
      <c r="AA108" s="1"/>
      <c r="AB108" s="1"/>
      <c r="AD108" s="1"/>
      <c r="AE108" s="1"/>
      <c r="AF108" s="1"/>
    </row>
    <row r="109" spans="1:32" ht="12.75">
      <c r="A109" s="9"/>
      <c r="B109" s="9"/>
      <c r="C109" s="53" t="s">
        <v>320</v>
      </c>
      <c r="D109" s="9"/>
      <c r="E109" s="24"/>
      <c r="F109" s="24"/>
      <c r="G109" s="24"/>
      <c r="H109" s="24"/>
      <c r="I109" s="24"/>
      <c r="J109" s="24"/>
      <c r="K109" s="24"/>
      <c r="N109" s="5"/>
      <c r="O109" s="1"/>
      <c r="Z109" s="1"/>
      <c r="AA109" s="1"/>
      <c r="AB109" s="1"/>
      <c r="AD109" s="1"/>
      <c r="AE109" s="1"/>
      <c r="AF109" s="1"/>
    </row>
    <row r="110" spans="1:32" ht="12.75">
      <c r="A110" s="9"/>
      <c r="B110" s="9"/>
      <c r="C110" s="53" t="s">
        <v>321</v>
      </c>
      <c r="D110" s="9"/>
      <c r="E110" s="24"/>
      <c r="F110" s="24"/>
      <c r="G110" s="24"/>
      <c r="H110" s="24"/>
      <c r="I110" s="24"/>
      <c r="J110" s="24"/>
      <c r="K110" s="24"/>
      <c r="N110" s="5"/>
      <c r="O110" s="1"/>
      <c r="Z110" s="1"/>
      <c r="AA110" s="1"/>
      <c r="AB110" s="1"/>
      <c r="AD110" s="1"/>
      <c r="AE110" s="1"/>
      <c r="AF110" s="1"/>
    </row>
    <row r="111" spans="1:32" ht="12.75">
      <c r="A111" s="9" t="s">
        <v>24</v>
      </c>
      <c r="B111" s="9" t="s">
        <v>84</v>
      </c>
      <c r="C111" s="9" t="s">
        <v>163</v>
      </c>
      <c r="D111" s="9" t="s">
        <v>223</v>
      </c>
      <c r="E111" s="24">
        <v>11.97</v>
      </c>
      <c r="F111" s="24"/>
      <c r="G111" s="24"/>
      <c r="H111" s="24"/>
      <c r="I111" s="24"/>
      <c r="J111" s="24">
        <v>0.01162</v>
      </c>
      <c r="K111" s="24">
        <f>E111*J111</f>
        <v>0.1390914</v>
      </c>
      <c r="N111" s="5" t="s">
        <v>7</v>
      </c>
      <c r="O111" s="1">
        <f>IF(N111="5",H111,0)</f>
        <v>0</v>
      </c>
      <c r="Z111" s="1">
        <f>IF(AD111=0,I111,0)</f>
        <v>0</v>
      </c>
      <c r="AA111" s="1">
        <f>IF(AD111=15,I111,0)</f>
        <v>0</v>
      </c>
      <c r="AB111" s="1">
        <f>IF(AD111=21,I111,0)</f>
        <v>0</v>
      </c>
      <c r="AD111" s="1">
        <v>21</v>
      </c>
      <c r="AE111" s="1">
        <f>F111*0.562119047619048</f>
        <v>0</v>
      </c>
      <c r="AF111" s="1">
        <f>F111*(1-0.562119047619048)</f>
        <v>0</v>
      </c>
    </row>
    <row r="112" spans="1:32" ht="12.75">
      <c r="A112" s="9"/>
      <c r="B112" s="9"/>
      <c r="C112" s="53" t="s">
        <v>322</v>
      </c>
      <c r="D112" s="9"/>
      <c r="E112" s="24"/>
      <c r="F112" s="24"/>
      <c r="G112" s="24"/>
      <c r="H112" s="24"/>
      <c r="I112" s="24"/>
      <c r="J112" s="24"/>
      <c r="K112" s="24"/>
      <c r="N112" s="5"/>
      <c r="O112" s="1"/>
      <c r="Z112" s="1"/>
      <c r="AA112" s="1"/>
      <c r="AB112" s="1"/>
      <c r="AD112" s="1"/>
      <c r="AE112" s="1"/>
      <c r="AF112" s="1"/>
    </row>
    <row r="113" spans="1:32" ht="12.75">
      <c r="A113" s="9"/>
      <c r="B113" s="9"/>
      <c r="C113" s="53" t="s">
        <v>323</v>
      </c>
      <c r="D113" s="9"/>
      <c r="E113" s="24"/>
      <c r="F113" s="24"/>
      <c r="G113" s="24"/>
      <c r="H113" s="24"/>
      <c r="I113" s="24"/>
      <c r="J113" s="24"/>
      <c r="K113" s="24"/>
      <c r="N113" s="5"/>
      <c r="O113" s="1"/>
      <c r="Z113" s="1"/>
      <c r="AA113" s="1"/>
      <c r="AB113" s="1"/>
      <c r="AD113" s="1"/>
      <c r="AE113" s="1"/>
      <c r="AF113" s="1"/>
    </row>
    <row r="114" spans="1:32" ht="12.75">
      <c r="A114" s="9" t="s">
        <v>25</v>
      </c>
      <c r="B114" s="9" t="s">
        <v>85</v>
      </c>
      <c r="C114" s="9" t="s">
        <v>446</v>
      </c>
      <c r="D114" s="9" t="s">
        <v>223</v>
      </c>
      <c r="E114" s="24">
        <v>34.08</v>
      </c>
      <c r="F114" s="24"/>
      <c r="G114" s="24"/>
      <c r="H114" s="24"/>
      <c r="I114" s="24"/>
      <c r="J114" s="24">
        <v>0.01702</v>
      </c>
      <c r="K114" s="24">
        <f>E114*J114</f>
        <v>0.5800415999999999</v>
      </c>
      <c r="N114" s="5" t="s">
        <v>7</v>
      </c>
      <c r="O114" s="1">
        <f>IF(N114="5",H114,0)</f>
        <v>0</v>
      </c>
      <c r="Z114" s="1">
        <f>IF(AD114=0,I114,0)</f>
        <v>0</v>
      </c>
      <c r="AA114" s="1">
        <f>IF(AD114=15,I114,0)</f>
        <v>0</v>
      </c>
      <c r="AB114" s="1">
        <f>IF(AD114=21,I114,0)</f>
        <v>0</v>
      </c>
      <c r="AD114" s="1">
        <v>21</v>
      </c>
      <c r="AE114" s="1">
        <f>F114*0.633644444444444</f>
        <v>0</v>
      </c>
      <c r="AF114" s="1">
        <f>F114*(1-0.633644444444444)</f>
        <v>0</v>
      </c>
    </row>
    <row r="115" spans="1:32" ht="12.75">
      <c r="A115" s="9"/>
      <c r="B115" s="9"/>
      <c r="C115" s="53" t="s">
        <v>324</v>
      </c>
      <c r="D115" s="9"/>
      <c r="E115" s="24"/>
      <c r="F115" s="24"/>
      <c r="G115" s="24"/>
      <c r="H115" s="24"/>
      <c r="I115" s="24"/>
      <c r="J115" s="24"/>
      <c r="K115" s="24"/>
      <c r="N115" s="5"/>
      <c r="O115" s="1"/>
      <c r="Z115" s="1"/>
      <c r="AA115" s="1"/>
      <c r="AB115" s="1"/>
      <c r="AD115" s="1"/>
      <c r="AE115" s="1"/>
      <c r="AF115" s="1"/>
    </row>
    <row r="116" spans="1:32" ht="12.75">
      <c r="A116" s="9"/>
      <c r="B116" s="9"/>
      <c r="C116" s="53" t="s">
        <v>283</v>
      </c>
      <c r="D116" s="9"/>
      <c r="E116" s="24"/>
      <c r="F116" s="24"/>
      <c r="G116" s="24"/>
      <c r="H116" s="24"/>
      <c r="I116" s="24"/>
      <c r="J116" s="24"/>
      <c r="K116" s="24"/>
      <c r="N116" s="5"/>
      <c r="O116" s="1"/>
      <c r="Z116" s="1"/>
      <c r="AA116" s="1"/>
      <c r="AB116" s="1"/>
      <c r="AD116" s="1"/>
      <c r="AE116" s="1"/>
      <c r="AF116" s="1"/>
    </row>
    <row r="117" spans="1:32" ht="12.75">
      <c r="A117" s="9"/>
      <c r="B117" s="9"/>
      <c r="C117" s="53" t="s">
        <v>325</v>
      </c>
      <c r="D117" s="9"/>
      <c r="E117" s="24"/>
      <c r="F117" s="24"/>
      <c r="G117" s="24"/>
      <c r="H117" s="24"/>
      <c r="I117" s="24"/>
      <c r="J117" s="24"/>
      <c r="K117" s="24"/>
      <c r="N117" s="5"/>
      <c r="O117" s="1"/>
      <c r="Z117" s="1"/>
      <c r="AA117" s="1"/>
      <c r="AB117" s="1"/>
      <c r="AD117" s="1"/>
      <c r="AE117" s="1"/>
      <c r="AF117" s="1"/>
    </row>
    <row r="118" spans="1:32" ht="12.75">
      <c r="A118" s="9"/>
      <c r="B118" s="9"/>
      <c r="C118" s="53" t="s">
        <v>326</v>
      </c>
      <c r="D118" s="9"/>
      <c r="E118" s="24"/>
      <c r="F118" s="24"/>
      <c r="G118" s="24"/>
      <c r="H118" s="24"/>
      <c r="I118" s="24"/>
      <c r="J118" s="24"/>
      <c r="K118" s="24"/>
      <c r="N118" s="5"/>
      <c r="O118" s="1"/>
      <c r="Z118" s="1"/>
      <c r="AA118" s="1"/>
      <c r="AB118" s="1"/>
      <c r="AD118" s="1"/>
      <c r="AE118" s="1"/>
      <c r="AF118" s="1"/>
    </row>
    <row r="119" spans="1:32" ht="12.75">
      <c r="A119" s="9"/>
      <c r="B119" s="9"/>
      <c r="C119" s="53" t="s">
        <v>294</v>
      </c>
      <c r="D119" s="9"/>
      <c r="E119" s="24"/>
      <c r="F119" s="24"/>
      <c r="G119" s="24"/>
      <c r="H119" s="24"/>
      <c r="I119" s="24"/>
      <c r="J119" s="24"/>
      <c r="K119" s="24"/>
      <c r="N119" s="5"/>
      <c r="O119" s="1"/>
      <c r="Z119" s="1"/>
      <c r="AA119" s="1"/>
      <c r="AB119" s="1"/>
      <c r="AD119" s="1"/>
      <c r="AE119" s="1"/>
      <c r="AF119" s="1"/>
    </row>
    <row r="120" spans="1:32" ht="12.75">
      <c r="A120" s="9"/>
      <c r="B120" s="9"/>
      <c r="C120" s="53" t="s">
        <v>327</v>
      </c>
      <c r="D120" s="9"/>
      <c r="E120" s="24"/>
      <c r="F120" s="24"/>
      <c r="G120" s="24"/>
      <c r="H120" s="24"/>
      <c r="I120" s="24"/>
      <c r="J120" s="24"/>
      <c r="K120" s="24"/>
      <c r="N120" s="5"/>
      <c r="O120" s="1"/>
      <c r="Z120" s="1"/>
      <c r="AA120" s="1"/>
      <c r="AB120" s="1"/>
      <c r="AD120" s="1"/>
      <c r="AE120" s="1"/>
      <c r="AF120" s="1"/>
    </row>
    <row r="121" spans="1:32" ht="12.75">
      <c r="A121" s="9" t="s">
        <v>26</v>
      </c>
      <c r="B121" s="9" t="s">
        <v>85</v>
      </c>
      <c r="C121" s="9" t="s">
        <v>165</v>
      </c>
      <c r="D121" s="9" t="s">
        <v>223</v>
      </c>
      <c r="E121" s="24">
        <v>4.37</v>
      </c>
      <c r="F121" s="24"/>
      <c r="G121" s="24"/>
      <c r="H121" s="24"/>
      <c r="I121" s="24"/>
      <c r="J121" s="24">
        <v>0.01702</v>
      </c>
      <c r="K121" s="24">
        <f>E121*J121</f>
        <v>0.07437740000000001</v>
      </c>
      <c r="N121" s="5" t="s">
        <v>7</v>
      </c>
      <c r="O121" s="1">
        <f>IF(N121="5",H121,0)</f>
        <v>0</v>
      </c>
      <c r="Z121" s="1">
        <f>IF(AD121=0,I121,0)</f>
        <v>0</v>
      </c>
      <c r="AA121" s="1">
        <f>IF(AD121=15,I121,0)</f>
        <v>0</v>
      </c>
      <c r="AB121" s="1">
        <f>IF(AD121=21,I121,0)</f>
        <v>0</v>
      </c>
      <c r="AD121" s="1">
        <v>21</v>
      </c>
      <c r="AE121" s="1">
        <f>F121*0.633644444444444</f>
        <v>0</v>
      </c>
      <c r="AF121" s="1">
        <f>F121*(1-0.633644444444444)</f>
        <v>0</v>
      </c>
    </row>
    <row r="122" spans="1:32" ht="12.75">
      <c r="A122" s="9"/>
      <c r="B122" s="9"/>
      <c r="C122" s="53" t="s">
        <v>283</v>
      </c>
      <c r="D122" s="9"/>
      <c r="E122" s="24"/>
      <c r="F122" s="24"/>
      <c r="G122" s="24"/>
      <c r="H122" s="24"/>
      <c r="I122" s="24"/>
      <c r="J122" s="24"/>
      <c r="K122" s="24"/>
      <c r="N122" s="5"/>
      <c r="O122" s="1"/>
      <c r="Z122" s="1"/>
      <c r="AA122" s="1"/>
      <c r="AB122" s="1"/>
      <c r="AD122" s="1"/>
      <c r="AE122" s="1"/>
      <c r="AF122" s="1"/>
    </row>
    <row r="123" spans="1:32" ht="12.75">
      <c r="A123" s="9"/>
      <c r="B123" s="9"/>
      <c r="C123" s="53" t="s">
        <v>328</v>
      </c>
      <c r="D123" s="9"/>
      <c r="E123" s="24"/>
      <c r="F123" s="24"/>
      <c r="G123" s="24"/>
      <c r="H123" s="24"/>
      <c r="I123" s="24"/>
      <c r="J123" s="24"/>
      <c r="K123" s="24"/>
      <c r="N123" s="5"/>
      <c r="O123" s="1"/>
      <c r="Z123" s="1"/>
      <c r="AA123" s="1"/>
      <c r="AB123" s="1"/>
      <c r="AD123" s="1"/>
      <c r="AE123" s="1"/>
      <c r="AF123" s="1"/>
    </row>
    <row r="124" spans="1:32" ht="12.75">
      <c r="A124" s="9" t="s">
        <v>27</v>
      </c>
      <c r="B124" s="9" t="s">
        <v>86</v>
      </c>
      <c r="C124" s="9" t="s">
        <v>166</v>
      </c>
      <c r="D124" s="9" t="s">
        <v>223</v>
      </c>
      <c r="E124" s="24">
        <v>27.27</v>
      </c>
      <c r="F124" s="24"/>
      <c r="G124" s="24"/>
      <c r="H124" s="24"/>
      <c r="I124" s="24"/>
      <c r="J124" s="24">
        <v>0.00841</v>
      </c>
      <c r="K124" s="24">
        <f>E124*J124</f>
        <v>0.2293407</v>
      </c>
      <c r="N124" s="5" t="s">
        <v>7</v>
      </c>
      <c r="O124" s="1">
        <f>IF(N124="5",H124,0)</f>
        <v>0</v>
      </c>
      <c r="Z124" s="1">
        <f>IF(AD124=0,I124,0)</f>
        <v>0</v>
      </c>
      <c r="AA124" s="1">
        <f>IF(AD124=15,I124,0)</f>
        <v>0</v>
      </c>
      <c r="AB124" s="1">
        <f>IF(AD124=21,I124,0)</f>
        <v>0</v>
      </c>
      <c r="AD124" s="1">
        <v>21</v>
      </c>
      <c r="AE124" s="1">
        <f>F124*0.512294540582363</f>
        <v>0</v>
      </c>
      <c r="AF124" s="1">
        <f>F124*(1-0.512294540582363)</f>
        <v>0</v>
      </c>
    </row>
    <row r="125" spans="1:32" ht="12.75">
      <c r="A125" s="9"/>
      <c r="B125" s="9"/>
      <c r="C125" s="53" t="s">
        <v>329</v>
      </c>
      <c r="D125" s="9"/>
      <c r="E125" s="24"/>
      <c r="F125" s="24"/>
      <c r="G125" s="24"/>
      <c r="H125" s="24"/>
      <c r="I125" s="24"/>
      <c r="J125" s="24"/>
      <c r="K125" s="24"/>
      <c r="N125" s="5"/>
      <c r="O125" s="1"/>
      <c r="Z125" s="1"/>
      <c r="AA125" s="1"/>
      <c r="AB125" s="1"/>
      <c r="AD125" s="1"/>
      <c r="AE125" s="1"/>
      <c r="AF125" s="1"/>
    </row>
    <row r="126" spans="1:32" ht="12.75">
      <c r="A126" s="9"/>
      <c r="B126" s="9"/>
      <c r="C126" s="53" t="s">
        <v>330</v>
      </c>
      <c r="D126" s="9"/>
      <c r="E126" s="24"/>
      <c r="F126" s="24"/>
      <c r="G126" s="24"/>
      <c r="H126" s="24"/>
      <c r="I126" s="24"/>
      <c r="J126" s="24"/>
      <c r="K126" s="24"/>
      <c r="N126" s="5"/>
      <c r="O126" s="1"/>
      <c r="Z126" s="1"/>
      <c r="AA126" s="1"/>
      <c r="AB126" s="1"/>
      <c r="AD126" s="1"/>
      <c r="AE126" s="1"/>
      <c r="AF126" s="1"/>
    </row>
    <row r="127" spans="1:32" ht="12.75">
      <c r="A127" s="9"/>
      <c r="B127" s="9"/>
      <c r="C127" s="53" t="s">
        <v>331</v>
      </c>
      <c r="D127" s="9"/>
      <c r="E127" s="24"/>
      <c r="F127" s="24"/>
      <c r="G127" s="24"/>
      <c r="H127" s="24"/>
      <c r="I127" s="24"/>
      <c r="J127" s="24"/>
      <c r="K127" s="24"/>
      <c r="N127" s="5"/>
      <c r="O127" s="1"/>
      <c r="Z127" s="1"/>
      <c r="AA127" s="1"/>
      <c r="AB127" s="1"/>
      <c r="AD127" s="1"/>
      <c r="AE127" s="1"/>
      <c r="AF127" s="1"/>
    </row>
    <row r="128" spans="1:32" ht="12.75">
      <c r="A128" s="9"/>
      <c r="B128" s="9"/>
      <c r="C128" s="53" t="s">
        <v>332</v>
      </c>
      <c r="D128" s="9"/>
      <c r="E128" s="24"/>
      <c r="F128" s="24"/>
      <c r="G128" s="24"/>
      <c r="H128" s="24"/>
      <c r="I128" s="24"/>
      <c r="J128" s="24"/>
      <c r="K128" s="24"/>
      <c r="N128" s="5"/>
      <c r="O128" s="1"/>
      <c r="Z128" s="1"/>
      <c r="AA128" s="1"/>
      <c r="AB128" s="1"/>
      <c r="AD128" s="1"/>
      <c r="AE128" s="1"/>
      <c r="AF128" s="1"/>
    </row>
    <row r="129" spans="1:32" ht="12.75">
      <c r="A129" s="9"/>
      <c r="B129" s="9"/>
      <c r="C129" s="53" t="s">
        <v>333</v>
      </c>
      <c r="D129" s="9"/>
      <c r="E129" s="24"/>
      <c r="F129" s="24"/>
      <c r="G129" s="24"/>
      <c r="H129" s="24"/>
      <c r="I129" s="24"/>
      <c r="J129" s="24"/>
      <c r="K129" s="24"/>
      <c r="N129" s="5"/>
      <c r="O129" s="1"/>
      <c r="Z129" s="1"/>
      <c r="AA129" s="1"/>
      <c r="AB129" s="1"/>
      <c r="AD129" s="1"/>
      <c r="AE129" s="1"/>
      <c r="AF129" s="1"/>
    </row>
    <row r="130" spans="1:32" ht="12.75">
      <c r="A130" s="9"/>
      <c r="B130" s="9"/>
      <c r="C130" s="53" t="s">
        <v>334</v>
      </c>
      <c r="D130" s="9"/>
      <c r="E130" s="24"/>
      <c r="F130" s="24"/>
      <c r="G130" s="24"/>
      <c r="H130" s="24"/>
      <c r="I130" s="24"/>
      <c r="J130" s="24"/>
      <c r="K130" s="24"/>
      <c r="N130" s="5"/>
      <c r="O130" s="1"/>
      <c r="Z130" s="1"/>
      <c r="AA130" s="1"/>
      <c r="AB130" s="1"/>
      <c r="AD130" s="1"/>
      <c r="AE130" s="1"/>
      <c r="AF130" s="1"/>
    </row>
    <row r="131" spans="1:32" ht="12.75">
      <c r="A131" s="9"/>
      <c r="B131" s="9"/>
      <c r="C131" s="53" t="s">
        <v>447</v>
      </c>
      <c r="D131" s="9"/>
      <c r="E131" s="24"/>
      <c r="F131" s="24"/>
      <c r="G131" s="24"/>
      <c r="H131" s="24"/>
      <c r="I131" s="24"/>
      <c r="J131" s="24"/>
      <c r="K131" s="24"/>
      <c r="N131" s="5"/>
      <c r="O131" s="1"/>
      <c r="Z131" s="1"/>
      <c r="AA131" s="1"/>
      <c r="AB131" s="1"/>
      <c r="AD131" s="1"/>
      <c r="AE131" s="1"/>
      <c r="AF131" s="1"/>
    </row>
    <row r="132" spans="1:32" ht="12.75">
      <c r="A132" s="9"/>
      <c r="B132" s="9"/>
      <c r="C132" s="53" t="s">
        <v>336</v>
      </c>
      <c r="D132" s="9"/>
      <c r="E132" s="24"/>
      <c r="F132" s="24"/>
      <c r="G132" s="24"/>
      <c r="H132" s="24"/>
      <c r="I132" s="24"/>
      <c r="J132" s="24"/>
      <c r="K132" s="24"/>
      <c r="N132" s="5"/>
      <c r="O132" s="1"/>
      <c r="Z132" s="1"/>
      <c r="AA132" s="1"/>
      <c r="AB132" s="1"/>
      <c r="AD132" s="1"/>
      <c r="AE132" s="1"/>
      <c r="AF132" s="1"/>
    </row>
    <row r="133" spans="1:32" ht="12.75">
      <c r="A133" s="9"/>
      <c r="B133" s="9"/>
      <c r="C133" s="53" t="s">
        <v>337</v>
      </c>
      <c r="D133" s="9"/>
      <c r="E133" s="24"/>
      <c r="F133" s="24"/>
      <c r="G133" s="24"/>
      <c r="H133" s="24"/>
      <c r="I133" s="24"/>
      <c r="J133" s="24"/>
      <c r="K133" s="24"/>
      <c r="N133" s="5"/>
      <c r="O133" s="1"/>
      <c r="Z133" s="1"/>
      <c r="AA133" s="1"/>
      <c r="AB133" s="1"/>
      <c r="AD133" s="1"/>
      <c r="AE133" s="1"/>
      <c r="AF133" s="1"/>
    </row>
    <row r="134" spans="1:32" ht="12.75">
      <c r="A134" s="9"/>
      <c r="B134" s="9"/>
      <c r="C134" s="53" t="s">
        <v>338</v>
      </c>
      <c r="D134" s="9"/>
      <c r="E134" s="24"/>
      <c r="F134" s="24"/>
      <c r="G134" s="24"/>
      <c r="H134" s="24"/>
      <c r="I134" s="24"/>
      <c r="J134" s="24"/>
      <c r="K134" s="24"/>
      <c r="N134" s="5"/>
      <c r="O134" s="1"/>
      <c r="Z134" s="1"/>
      <c r="AA134" s="1"/>
      <c r="AB134" s="1"/>
      <c r="AD134" s="1"/>
      <c r="AE134" s="1"/>
      <c r="AF134" s="1"/>
    </row>
    <row r="135" spans="1:32" ht="12.75">
      <c r="A135" s="9" t="s">
        <v>28</v>
      </c>
      <c r="B135" s="9" t="s">
        <v>87</v>
      </c>
      <c r="C135" s="9" t="s">
        <v>167</v>
      </c>
      <c r="D135" s="9" t="s">
        <v>225</v>
      </c>
      <c r="E135" s="24">
        <v>14.4</v>
      </c>
      <c r="F135" s="24"/>
      <c r="G135" s="24"/>
      <c r="H135" s="24"/>
      <c r="I135" s="24"/>
      <c r="J135" s="24">
        <v>0.021</v>
      </c>
      <c r="K135" s="24">
        <f>E135*J135</f>
        <v>0.3024</v>
      </c>
      <c r="N135" s="5" t="s">
        <v>7</v>
      </c>
      <c r="O135" s="1">
        <f>IF(N135="5",H135,0)</f>
        <v>0</v>
      </c>
      <c r="Z135" s="1">
        <f>IF(AD135=0,I135,0)</f>
        <v>0</v>
      </c>
      <c r="AA135" s="1">
        <f>IF(AD135=15,I135,0)</f>
        <v>0</v>
      </c>
      <c r="AB135" s="1">
        <f>IF(AD135=21,I135,0)</f>
        <v>0</v>
      </c>
      <c r="AD135" s="1">
        <v>21</v>
      </c>
      <c r="AE135" s="1">
        <f>F135*0.324135090609555</f>
        <v>0</v>
      </c>
      <c r="AF135" s="1">
        <f>F135*(1-0.324135090609555)</f>
        <v>0</v>
      </c>
    </row>
    <row r="136" spans="1:32" ht="12.75">
      <c r="A136" s="9"/>
      <c r="B136" s="9"/>
      <c r="C136" s="53" t="s">
        <v>339</v>
      </c>
      <c r="D136" s="9"/>
      <c r="E136" s="24"/>
      <c r="F136" s="24"/>
      <c r="G136" s="24"/>
      <c r="H136" s="24"/>
      <c r="I136" s="24"/>
      <c r="J136" s="24"/>
      <c r="K136" s="24"/>
      <c r="N136" s="5"/>
      <c r="O136" s="1"/>
      <c r="Z136" s="1"/>
      <c r="AA136" s="1"/>
      <c r="AB136" s="1"/>
      <c r="AD136" s="1"/>
      <c r="AE136" s="1"/>
      <c r="AF136" s="1"/>
    </row>
    <row r="137" spans="1:32" ht="12.75">
      <c r="A137" s="9"/>
      <c r="B137" s="9"/>
      <c r="C137" s="53" t="s">
        <v>340</v>
      </c>
      <c r="D137" s="9"/>
      <c r="E137" s="24"/>
      <c r="F137" s="24"/>
      <c r="G137" s="24"/>
      <c r="H137" s="24"/>
      <c r="I137" s="24"/>
      <c r="J137" s="24"/>
      <c r="K137" s="24"/>
      <c r="N137" s="5"/>
      <c r="O137" s="1"/>
      <c r="Z137" s="1"/>
      <c r="AA137" s="1"/>
      <c r="AB137" s="1"/>
      <c r="AD137" s="1"/>
      <c r="AE137" s="1"/>
      <c r="AF137" s="1"/>
    </row>
    <row r="138" spans="1:37" ht="12.75">
      <c r="A138" s="25"/>
      <c r="B138" s="26" t="s">
        <v>88</v>
      </c>
      <c r="C138" s="79" t="s">
        <v>168</v>
      </c>
      <c r="D138" s="80"/>
      <c r="E138" s="80"/>
      <c r="F138" s="80"/>
      <c r="G138" s="27"/>
      <c r="H138" s="27"/>
      <c r="I138" s="27"/>
      <c r="J138" s="28"/>
      <c r="K138" s="27">
        <f>SUM(K139:K139)</f>
        <v>20.285538699999996</v>
      </c>
      <c r="P138" s="6">
        <f>IF(Q138="PR",I138,SUM(O139:O139))</f>
        <v>0</v>
      </c>
      <c r="Q138" s="2" t="s">
        <v>249</v>
      </c>
      <c r="R138" s="6">
        <f>IF(Q138="HS",G138,0)</f>
        <v>0</v>
      </c>
      <c r="S138" s="6">
        <f>IF(Q138="HS",H138-P138,0)</f>
        <v>0</v>
      </c>
      <c r="T138" s="6">
        <f>IF(Q138="PS",G138,0)</f>
        <v>0</v>
      </c>
      <c r="U138" s="6">
        <f>IF(Q138="PS",H138-P138,0)</f>
        <v>0</v>
      </c>
      <c r="V138" s="6">
        <f>IF(Q138="MP",G138,0)</f>
        <v>0</v>
      </c>
      <c r="W138" s="6">
        <f>IF(Q138="MP",H138-P138,0)</f>
        <v>0</v>
      </c>
      <c r="X138" s="6">
        <f>IF(Q138="OM",G138,0)</f>
        <v>0</v>
      </c>
      <c r="Y138" s="2"/>
      <c r="AI138" s="6">
        <f>SUM(Z139:Z139)</f>
        <v>0</v>
      </c>
      <c r="AJ138" s="6">
        <f>SUM(AA139:AA139)</f>
        <v>0</v>
      </c>
      <c r="AK138" s="6">
        <f>SUM(AB139:AB139)</f>
        <v>0</v>
      </c>
    </row>
    <row r="139" spans="1:32" ht="12.75">
      <c r="A139" s="9" t="s">
        <v>29</v>
      </c>
      <c r="B139" s="9" t="s">
        <v>89</v>
      </c>
      <c r="C139" s="9" t="s">
        <v>169</v>
      </c>
      <c r="D139" s="9" t="s">
        <v>223</v>
      </c>
      <c r="E139" s="24">
        <v>71.33</v>
      </c>
      <c r="F139" s="24"/>
      <c r="G139" s="24"/>
      <c r="H139" s="24"/>
      <c r="I139" s="24"/>
      <c r="J139" s="24">
        <v>0.28439</v>
      </c>
      <c r="K139" s="24">
        <f>E139*J139</f>
        <v>20.285538699999996</v>
      </c>
      <c r="N139" s="5" t="s">
        <v>7</v>
      </c>
      <c r="O139" s="1">
        <f>IF(N139="5",H139,0)</f>
        <v>0</v>
      </c>
      <c r="Z139" s="1">
        <f>IF(AD139=0,I139,0)</f>
        <v>0</v>
      </c>
      <c r="AA139" s="1">
        <f>IF(AD139=15,I139,0)</f>
        <v>0</v>
      </c>
      <c r="AB139" s="1">
        <f>IF(AD139=21,I139,0)</f>
        <v>0</v>
      </c>
      <c r="AD139" s="1">
        <v>21</v>
      </c>
      <c r="AE139" s="1">
        <f>F139*0.795002998950367</f>
        <v>0</v>
      </c>
      <c r="AF139" s="1">
        <f>F139*(1-0.795002998950367)</f>
        <v>0</v>
      </c>
    </row>
    <row r="140" spans="1:32" ht="12.75">
      <c r="A140" s="9"/>
      <c r="B140" s="9"/>
      <c r="C140" s="53" t="s">
        <v>341</v>
      </c>
      <c r="D140" s="9"/>
      <c r="E140" s="24"/>
      <c r="F140" s="24"/>
      <c r="G140" s="24"/>
      <c r="H140" s="24"/>
      <c r="I140" s="24"/>
      <c r="J140" s="24"/>
      <c r="K140" s="24"/>
      <c r="N140" s="5"/>
      <c r="O140" s="1"/>
      <c r="Z140" s="1"/>
      <c r="AA140" s="1"/>
      <c r="AB140" s="1"/>
      <c r="AD140" s="1"/>
      <c r="AE140" s="1"/>
      <c r="AF140" s="1"/>
    </row>
    <row r="141" spans="1:32" ht="12.75">
      <c r="A141" s="9"/>
      <c r="B141" s="9"/>
      <c r="C141" s="53" t="s">
        <v>263</v>
      </c>
      <c r="D141" s="9"/>
      <c r="E141" s="24"/>
      <c r="F141" s="24"/>
      <c r="G141" s="24"/>
      <c r="H141" s="24"/>
      <c r="I141" s="24"/>
      <c r="J141" s="24"/>
      <c r="K141" s="24"/>
      <c r="N141" s="5"/>
      <c r="O141" s="1"/>
      <c r="Z141" s="1"/>
      <c r="AA141" s="1"/>
      <c r="AB141" s="1"/>
      <c r="AD141" s="1"/>
      <c r="AE141" s="1"/>
      <c r="AF141" s="1"/>
    </row>
    <row r="142" spans="1:32" ht="12.75">
      <c r="A142" s="9"/>
      <c r="B142" s="9"/>
      <c r="C142" s="53" t="s">
        <v>342</v>
      </c>
      <c r="D142" s="9"/>
      <c r="E142" s="24"/>
      <c r="F142" s="24"/>
      <c r="G142" s="24"/>
      <c r="H142" s="24"/>
      <c r="I142" s="24"/>
      <c r="J142" s="24"/>
      <c r="K142" s="24"/>
      <c r="N142" s="5"/>
      <c r="O142" s="1"/>
      <c r="Z142" s="1"/>
      <c r="AA142" s="1"/>
      <c r="AB142" s="1"/>
      <c r="AD142" s="1"/>
      <c r="AE142" s="1"/>
      <c r="AF142" s="1"/>
    </row>
    <row r="143" spans="1:32" ht="12.75">
      <c r="A143" s="9"/>
      <c r="B143" s="9"/>
      <c r="C143" s="53" t="s">
        <v>343</v>
      </c>
      <c r="D143" s="9"/>
      <c r="E143" s="24"/>
      <c r="F143" s="24"/>
      <c r="G143" s="24"/>
      <c r="H143" s="24"/>
      <c r="I143" s="24"/>
      <c r="J143" s="24"/>
      <c r="K143" s="24"/>
      <c r="N143" s="5"/>
      <c r="O143" s="1"/>
      <c r="Z143" s="1"/>
      <c r="AA143" s="1"/>
      <c r="AB143" s="1"/>
      <c r="AD143" s="1"/>
      <c r="AE143" s="1"/>
      <c r="AF143" s="1"/>
    </row>
    <row r="144" spans="1:37" ht="12.75">
      <c r="A144" s="25"/>
      <c r="B144" s="26" t="s">
        <v>90</v>
      </c>
      <c r="C144" s="79" t="s">
        <v>170</v>
      </c>
      <c r="D144" s="80"/>
      <c r="E144" s="80"/>
      <c r="F144" s="80"/>
      <c r="G144" s="27"/>
      <c r="H144" s="27"/>
      <c r="I144" s="27"/>
      <c r="J144" s="28"/>
      <c r="K144" s="27">
        <f>SUM(K145:K145)</f>
        <v>0</v>
      </c>
      <c r="P144" s="6">
        <f>IF(Q144="PR",I144,SUM(O145:O145))</f>
        <v>0</v>
      </c>
      <c r="Q144" s="2" t="s">
        <v>250</v>
      </c>
      <c r="R144" s="6">
        <f>IF(Q144="HS",G144,0)</f>
        <v>0</v>
      </c>
      <c r="S144" s="6">
        <f>IF(Q144="HS",H144-P144,0)</f>
        <v>0</v>
      </c>
      <c r="T144" s="6">
        <f>IF(Q144="PS",G144,0)</f>
        <v>0</v>
      </c>
      <c r="U144" s="6">
        <f>IF(Q144="PS",H144-P144,0)</f>
        <v>0</v>
      </c>
      <c r="V144" s="6">
        <f>IF(Q144="MP",G144,0)</f>
        <v>0</v>
      </c>
      <c r="W144" s="6">
        <f>IF(Q144="MP",H144-P144,0)</f>
        <v>0</v>
      </c>
      <c r="X144" s="6">
        <f>IF(Q144="OM",G144,0)</f>
        <v>0</v>
      </c>
      <c r="Y144" s="2"/>
      <c r="AI144" s="6">
        <f>SUM(Z145:Z145)</f>
        <v>0</v>
      </c>
      <c r="AJ144" s="6">
        <f>SUM(AA145:AA145)</f>
        <v>0</v>
      </c>
      <c r="AK144" s="6">
        <f>SUM(AB145:AB145)</f>
        <v>0</v>
      </c>
    </row>
    <row r="145" spans="1:32" ht="12.75">
      <c r="A145" s="9" t="s">
        <v>30</v>
      </c>
      <c r="B145" s="9" t="s">
        <v>91</v>
      </c>
      <c r="C145" s="9" t="s">
        <v>171</v>
      </c>
      <c r="D145" s="9" t="s">
        <v>223</v>
      </c>
      <c r="E145" s="24">
        <v>123.07</v>
      </c>
      <c r="F145" s="24"/>
      <c r="G145" s="24"/>
      <c r="H145" s="24"/>
      <c r="I145" s="24"/>
      <c r="J145" s="24">
        <v>0</v>
      </c>
      <c r="K145" s="24">
        <f>E145*J145</f>
        <v>0</v>
      </c>
      <c r="N145" s="5" t="s">
        <v>7</v>
      </c>
      <c r="O145" s="1">
        <f>IF(N145="5",H145,0)</f>
        <v>0</v>
      </c>
      <c r="Z145" s="1">
        <f>IF(AD145=0,I145,0)</f>
        <v>0</v>
      </c>
      <c r="AA145" s="1">
        <f>IF(AD145=15,I145,0)</f>
        <v>0</v>
      </c>
      <c r="AB145" s="1">
        <f>IF(AD145=21,I145,0)</f>
        <v>0</v>
      </c>
      <c r="AD145" s="1">
        <v>21</v>
      </c>
      <c r="AE145" s="1">
        <f>F145*0.342021335092929</f>
        <v>0</v>
      </c>
      <c r="AF145" s="1">
        <f>F145*(1-0.342021335092929)</f>
        <v>0</v>
      </c>
    </row>
    <row r="146" spans="1:32" ht="12.75">
      <c r="A146" s="9"/>
      <c r="B146" s="9"/>
      <c r="C146" s="53" t="s">
        <v>344</v>
      </c>
      <c r="D146" s="9"/>
      <c r="E146" s="24"/>
      <c r="F146" s="24"/>
      <c r="G146" s="24"/>
      <c r="H146" s="24"/>
      <c r="I146" s="24"/>
      <c r="J146" s="24"/>
      <c r="K146" s="24"/>
      <c r="N146" s="5"/>
      <c r="O146" s="1"/>
      <c r="Z146" s="1"/>
      <c r="AA146" s="1"/>
      <c r="AB146" s="1"/>
      <c r="AD146" s="1"/>
      <c r="AE146" s="1"/>
      <c r="AF146" s="1"/>
    </row>
    <row r="147" spans="1:32" ht="12.75">
      <c r="A147" s="9"/>
      <c r="B147" s="9"/>
      <c r="C147" s="53" t="s">
        <v>345</v>
      </c>
      <c r="D147" s="9"/>
      <c r="E147" s="24"/>
      <c r="F147" s="24"/>
      <c r="G147" s="24"/>
      <c r="H147" s="24"/>
      <c r="I147" s="24"/>
      <c r="J147" s="24"/>
      <c r="K147" s="24"/>
      <c r="N147" s="5"/>
      <c r="O147" s="1"/>
      <c r="Z147" s="1"/>
      <c r="AA147" s="1"/>
      <c r="AB147" s="1"/>
      <c r="AD147" s="1"/>
      <c r="AE147" s="1"/>
      <c r="AF147" s="1"/>
    </row>
    <row r="148" spans="1:32" ht="12.75">
      <c r="A148" s="9"/>
      <c r="B148" s="9"/>
      <c r="C148" s="53" t="s">
        <v>346</v>
      </c>
      <c r="D148" s="9"/>
      <c r="E148" s="24"/>
      <c r="F148" s="24"/>
      <c r="G148" s="24"/>
      <c r="H148" s="24"/>
      <c r="I148" s="24"/>
      <c r="J148" s="24"/>
      <c r="K148" s="24"/>
      <c r="N148" s="5"/>
      <c r="O148" s="1"/>
      <c r="Z148" s="1"/>
      <c r="AA148" s="1"/>
      <c r="AB148" s="1"/>
      <c r="AD148" s="1"/>
      <c r="AE148" s="1"/>
      <c r="AF148" s="1"/>
    </row>
    <row r="149" spans="1:32" ht="12.75">
      <c r="A149" s="9"/>
      <c r="B149" s="9"/>
      <c r="C149" s="53" t="s">
        <v>347</v>
      </c>
      <c r="D149" s="9"/>
      <c r="E149" s="24"/>
      <c r="F149" s="24"/>
      <c r="G149" s="24"/>
      <c r="H149" s="24"/>
      <c r="I149" s="24"/>
      <c r="J149" s="24"/>
      <c r="K149" s="24"/>
      <c r="N149" s="5"/>
      <c r="O149" s="1"/>
      <c r="Z149" s="1"/>
      <c r="AA149" s="1"/>
      <c r="AB149" s="1"/>
      <c r="AD149" s="1"/>
      <c r="AE149" s="1"/>
      <c r="AF149" s="1"/>
    </row>
    <row r="150" spans="1:32" ht="12.75">
      <c r="A150" s="9"/>
      <c r="B150" s="9"/>
      <c r="C150" s="53" t="s">
        <v>348</v>
      </c>
      <c r="D150" s="9"/>
      <c r="E150" s="24"/>
      <c r="F150" s="24"/>
      <c r="G150" s="24"/>
      <c r="H150" s="24"/>
      <c r="I150" s="24"/>
      <c r="J150" s="24"/>
      <c r="K150" s="24"/>
      <c r="N150" s="5"/>
      <c r="O150" s="1"/>
      <c r="Z150" s="1"/>
      <c r="AA150" s="1"/>
      <c r="AB150" s="1"/>
      <c r="AD150" s="1"/>
      <c r="AE150" s="1"/>
      <c r="AF150" s="1"/>
    </row>
    <row r="151" spans="1:32" ht="12.75">
      <c r="A151" s="9"/>
      <c r="B151" s="9"/>
      <c r="C151" s="53" t="s">
        <v>349</v>
      </c>
      <c r="D151" s="9"/>
      <c r="E151" s="24"/>
      <c r="F151" s="24"/>
      <c r="G151" s="24"/>
      <c r="H151" s="24"/>
      <c r="I151" s="24"/>
      <c r="J151" s="24"/>
      <c r="K151" s="24"/>
      <c r="N151" s="5"/>
      <c r="O151" s="1"/>
      <c r="Z151" s="1"/>
      <c r="AA151" s="1"/>
      <c r="AB151" s="1"/>
      <c r="AD151" s="1"/>
      <c r="AE151" s="1"/>
      <c r="AF151" s="1"/>
    </row>
    <row r="152" spans="1:32" ht="12.75">
      <c r="A152" s="9"/>
      <c r="B152" s="9"/>
      <c r="C152" s="53" t="s">
        <v>350</v>
      </c>
      <c r="D152" s="9"/>
      <c r="E152" s="24"/>
      <c r="F152" s="24"/>
      <c r="G152" s="24"/>
      <c r="H152" s="24"/>
      <c r="I152" s="24"/>
      <c r="J152" s="24"/>
      <c r="K152" s="24"/>
      <c r="N152" s="5"/>
      <c r="O152" s="1"/>
      <c r="Z152" s="1"/>
      <c r="AA152" s="1"/>
      <c r="AB152" s="1"/>
      <c r="AD152" s="1"/>
      <c r="AE152" s="1"/>
      <c r="AF152" s="1"/>
    </row>
    <row r="153" spans="1:32" ht="12.75">
      <c r="A153" s="9"/>
      <c r="B153" s="9"/>
      <c r="C153" s="53" t="s">
        <v>351</v>
      </c>
      <c r="D153" s="9"/>
      <c r="E153" s="24"/>
      <c r="F153" s="24"/>
      <c r="G153" s="24"/>
      <c r="H153" s="24"/>
      <c r="I153" s="24"/>
      <c r="J153" s="24"/>
      <c r="K153" s="24"/>
      <c r="N153" s="5"/>
      <c r="O153" s="1"/>
      <c r="Z153" s="1"/>
      <c r="AA153" s="1"/>
      <c r="AB153" s="1"/>
      <c r="AD153" s="1"/>
      <c r="AE153" s="1"/>
      <c r="AF153" s="1"/>
    </row>
    <row r="154" spans="1:32" ht="12.75">
      <c r="A154" s="9"/>
      <c r="B154" s="9"/>
      <c r="C154" s="53" t="s">
        <v>352</v>
      </c>
      <c r="D154" s="9"/>
      <c r="E154" s="24"/>
      <c r="F154" s="24"/>
      <c r="G154" s="24"/>
      <c r="H154" s="24"/>
      <c r="I154" s="24"/>
      <c r="J154" s="24"/>
      <c r="K154" s="24"/>
      <c r="N154" s="5"/>
      <c r="O154" s="1"/>
      <c r="Z154" s="1"/>
      <c r="AA154" s="1"/>
      <c r="AB154" s="1"/>
      <c r="AD154" s="1"/>
      <c r="AE154" s="1"/>
      <c r="AF154" s="1"/>
    </row>
    <row r="155" spans="1:32" ht="12.75">
      <c r="A155" s="9"/>
      <c r="B155" s="9"/>
      <c r="C155" s="53" t="s">
        <v>353</v>
      </c>
      <c r="D155" s="9"/>
      <c r="E155" s="24"/>
      <c r="F155" s="24"/>
      <c r="G155" s="24"/>
      <c r="H155" s="24"/>
      <c r="I155" s="24"/>
      <c r="J155" s="24"/>
      <c r="K155" s="24"/>
      <c r="N155" s="5"/>
      <c r="O155" s="1"/>
      <c r="Z155" s="1"/>
      <c r="AA155" s="1"/>
      <c r="AB155" s="1"/>
      <c r="AD155" s="1"/>
      <c r="AE155" s="1"/>
      <c r="AF155" s="1"/>
    </row>
    <row r="156" spans="1:32" ht="12.75">
      <c r="A156" s="9"/>
      <c r="B156" s="9"/>
      <c r="C156" s="53" t="s">
        <v>354</v>
      </c>
      <c r="D156" s="9"/>
      <c r="E156" s="24"/>
      <c r="F156" s="24"/>
      <c r="G156" s="24"/>
      <c r="H156" s="24"/>
      <c r="I156" s="24"/>
      <c r="J156" s="24"/>
      <c r="K156" s="24"/>
      <c r="N156" s="5"/>
      <c r="O156" s="1"/>
      <c r="Z156" s="1"/>
      <c r="AA156" s="1"/>
      <c r="AB156" s="1"/>
      <c r="AD156" s="1"/>
      <c r="AE156" s="1"/>
      <c r="AF156" s="1"/>
    </row>
    <row r="157" spans="1:32" ht="12.75">
      <c r="A157" s="9"/>
      <c r="B157" s="9"/>
      <c r="C157" s="53" t="s">
        <v>355</v>
      </c>
      <c r="D157" s="9"/>
      <c r="E157" s="24"/>
      <c r="F157" s="24"/>
      <c r="G157" s="24"/>
      <c r="H157" s="24"/>
      <c r="I157" s="24"/>
      <c r="J157" s="24"/>
      <c r="K157" s="24"/>
      <c r="N157" s="5"/>
      <c r="O157" s="1"/>
      <c r="Z157" s="1"/>
      <c r="AA157" s="1"/>
      <c r="AB157" s="1"/>
      <c r="AD157" s="1"/>
      <c r="AE157" s="1"/>
      <c r="AF157" s="1"/>
    </row>
    <row r="158" spans="1:32" ht="12.75">
      <c r="A158" s="9"/>
      <c r="B158" s="9"/>
      <c r="C158" s="53" t="s">
        <v>356</v>
      </c>
      <c r="D158" s="9"/>
      <c r="E158" s="24"/>
      <c r="F158" s="24"/>
      <c r="G158" s="24"/>
      <c r="H158" s="24"/>
      <c r="I158" s="24"/>
      <c r="J158" s="24"/>
      <c r="K158" s="24"/>
      <c r="N158" s="5"/>
      <c r="O158" s="1"/>
      <c r="Z158" s="1"/>
      <c r="AA158" s="1"/>
      <c r="AB158" s="1"/>
      <c r="AD158" s="1"/>
      <c r="AE158" s="1"/>
      <c r="AF158" s="1"/>
    </row>
    <row r="159" spans="1:32" ht="12.75">
      <c r="A159" s="9"/>
      <c r="B159" s="9"/>
      <c r="C159" s="53" t="s">
        <v>357</v>
      </c>
      <c r="D159" s="9"/>
      <c r="E159" s="24"/>
      <c r="F159" s="24"/>
      <c r="G159" s="24"/>
      <c r="H159" s="24"/>
      <c r="I159" s="24"/>
      <c r="J159" s="24"/>
      <c r="K159" s="24"/>
      <c r="N159" s="5"/>
      <c r="O159" s="1"/>
      <c r="Z159" s="1"/>
      <c r="AA159" s="1"/>
      <c r="AB159" s="1"/>
      <c r="AD159" s="1"/>
      <c r="AE159" s="1"/>
      <c r="AF159" s="1"/>
    </row>
    <row r="160" spans="1:32" ht="12.75">
      <c r="A160" s="9"/>
      <c r="B160" s="9"/>
      <c r="C160" s="53" t="s">
        <v>358</v>
      </c>
      <c r="D160" s="9"/>
      <c r="E160" s="24"/>
      <c r="F160" s="24"/>
      <c r="G160" s="24"/>
      <c r="H160" s="24"/>
      <c r="I160" s="24"/>
      <c r="J160" s="24"/>
      <c r="K160" s="24"/>
      <c r="N160" s="5"/>
      <c r="O160" s="1"/>
      <c r="Z160" s="1"/>
      <c r="AA160" s="1"/>
      <c r="AB160" s="1"/>
      <c r="AD160" s="1"/>
      <c r="AE160" s="1"/>
      <c r="AF160" s="1"/>
    </row>
    <row r="161" spans="1:37" ht="12.75">
      <c r="A161" s="25"/>
      <c r="B161" s="26" t="s">
        <v>92</v>
      </c>
      <c r="C161" s="79" t="s">
        <v>172</v>
      </c>
      <c r="D161" s="80"/>
      <c r="E161" s="80"/>
      <c r="F161" s="80"/>
      <c r="G161" s="27"/>
      <c r="H161" s="27"/>
      <c r="I161" s="27"/>
      <c r="J161" s="28"/>
      <c r="K161" s="27">
        <f>SUM(K162:K166)</f>
        <v>0.3069288</v>
      </c>
      <c r="P161" s="6">
        <f>IF(Q161="PR",I161,SUM(O162:O166))</f>
        <v>0</v>
      </c>
      <c r="Q161" s="2" t="s">
        <v>250</v>
      </c>
      <c r="R161" s="6">
        <f>IF(Q161="HS",G161,0)</f>
        <v>0</v>
      </c>
      <c r="S161" s="6">
        <f>IF(Q161="HS",H161-P161,0)</f>
        <v>0</v>
      </c>
      <c r="T161" s="6">
        <f>IF(Q161="PS",G161,0)</f>
        <v>0</v>
      </c>
      <c r="U161" s="6">
        <f>IF(Q161="PS",H161-P161,0)</f>
        <v>0</v>
      </c>
      <c r="V161" s="6">
        <f>IF(Q161="MP",G161,0)</f>
        <v>0</v>
      </c>
      <c r="W161" s="6">
        <f>IF(Q161="MP",H161-P161,0)</f>
        <v>0</v>
      </c>
      <c r="X161" s="6">
        <f>IF(Q161="OM",G161,0)</f>
        <v>0</v>
      </c>
      <c r="Y161" s="2"/>
      <c r="AI161" s="6">
        <f>SUM(Z162:Z166)</f>
        <v>0</v>
      </c>
      <c r="AJ161" s="6">
        <f>SUM(AA162:AA166)</f>
        <v>0</v>
      </c>
      <c r="AK161" s="6">
        <f>SUM(AB162:AB166)</f>
        <v>0</v>
      </c>
    </row>
    <row r="162" spans="1:32" ht="12.75">
      <c r="A162" s="9" t="s">
        <v>31</v>
      </c>
      <c r="B162" s="9" t="s">
        <v>93</v>
      </c>
      <c r="C162" s="9" t="s">
        <v>448</v>
      </c>
      <c r="D162" s="9" t="s">
        <v>225</v>
      </c>
      <c r="E162" s="24">
        <v>7.2</v>
      </c>
      <c r="F162" s="24"/>
      <c r="G162" s="24"/>
      <c r="H162" s="24"/>
      <c r="I162" s="24"/>
      <c r="J162" s="24">
        <v>0.00223</v>
      </c>
      <c r="K162" s="24">
        <f>E162*J162</f>
        <v>0.016056</v>
      </c>
      <c r="N162" s="5" t="s">
        <v>7</v>
      </c>
      <c r="O162" s="1">
        <f>IF(N162="5",H162,0)</f>
        <v>0</v>
      </c>
      <c r="Z162" s="1">
        <f>IF(AD162=0,I162,0)</f>
        <v>0</v>
      </c>
      <c r="AA162" s="1">
        <f>IF(AD162=15,I162,0)</f>
        <v>0</v>
      </c>
      <c r="AB162" s="1">
        <f>IF(AD162=21,I162,0)</f>
        <v>0</v>
      </c>
      <c r="AD162" s="1">
        <v>21</v>
      </c>
      <c r="AE162" s="1">
        <f>F162*1</f>
        <v>0</v>
      </c>
      <c r="AF162" s="1">
        <f>F162*(1-1)</f>
        <v>0</v>
      </c>
    </row>
    <row r="163" spans="1:32" ht="12.75">
      <c r="A163" s="9"/>
      <c r="B163" s="9"/>
      <c r="C163" s="53" t="s">
        <v>359</v>
      </c>
      <c r="D163" s="9"/>
      <c r="E163" s="24"/>
      <c r="F163" s="24"/>
      <c r="G163" s="24"/>
      <c r="H163" s="24"/>
      <c r="I163" s="24"/>
      <c r="J163" s="24"/>
      <c r="K163" s="24"/>
      <c r="N163" s="5"/>
      <c r="O163" s="1"/>
      <c r="Z163" s="1"/>
      <c r="AA163" s="1"/>
      <c r="AB163" s="1"/>
      <c r="AD163" s="1"/>
      <c r="AE163" s="1"/>
      <c r="AF163" s="1"/>
    </row>
    <row r="164" spans="1:32" ht="12.75">
      <c r="A164" s="9" t="s">
        <v>32</v>
      </c>
      <c r="B164" s="9" t="s">
        <v>94</v>
      </c>
      <c r="C164" s="9" t="s">
        <v>174</v>
      </c>
      <c r="D164" s="9" t="s">
        <v>225</v>
      </c>
      <c r="E164" s="24">
        <v>44.6</v>
      </c>
      <c r="F164" s="24"/>
      <c r="G164" s="24"/>
      <c r="H164" s="24"/>
      <c r="I164" s="24"/>
      <c r="J164" s="24">
        <v>0</v>
      </c>
      <c r="K164" s="24">
        <f>E164*J164</f>
        <v>0</v>
      </c>
      <c r="N164" s="5" t="s">
        <v>7</v>
      </c>
      <c r="O164" s="1">
        <f>IF(N164="5",H164,0)</f>
        <v>0</v>
      </c>
      <c r="Z164" s="1">
        <f>IF(AD164=0,I164,0)</f>
        <v>0</v>
      </c>
      <c r="AA164" s="1">
        <f>IF(AD164=15,I164,0)</f>
        <v>0</v>
      </c>
      <c r="AB164" s="1">
        <f>IF(AD164=21,I164,0)</f>
        <v>0</v>
      </c>
      <c r="AD164" s="1">
        <v>21</v>
      </c>
      <c r="AE164" s="1">
        <f>F164*0</f>
        <v>0</v>
      </c>
      <c r="AF164" s="1">
        <f>F164*(1-0)</f>
        <v>0</v>
      </c>
    </row>
    <row r="165" spans="1:32" ht="12.75">
      <c r="A165" s="9"/>
      <c r="B165" s="9"/>
      <c r="C165" s="53" t="s">
        <v>360</v>
      </c>
      <c r="D165" s="9"/>
      <c r="E165" s="24"/>
      <c r="F165" s="24"/>
      <c r="G165" s="24"/>
      <c r="H165" s="24"/>
      <c r="I165" s="24"/>
      <c r="J165" s="24"/>
      <c r="K165" s="24"/>
      <c r="N165" s="5"/>
      <c r="O165" s="1"/>
      <c r="Z165" s="1"/>
      <c r="AA165" s="1"/>
      <c r="AB165" s="1"/>
      <c r="AD165" s="1"/>
      <c r="AE165" s="1"/>
      <c r="AF165" s="1"/>
    </row>
    <row r="166" spans="1:32" ht="12.75">
      <c r="A166" s="9" t="s">
        <v>33</v>
      </c>
      <c r="B166" s="9" t="s">
        <v>95</v>
      </c>
      <c r="C166" s="9" t="s">
        <v>175</v>
      </c>
      <c r="D166" s="9" t="s">
        <v>225</v>
      </c>
      <c r="E166" s="24">
        <v>68.28</v>
      </c>
      <c r="F166" s="24"/>
      <c r="G166" s="24"/>
      <c r="H166" s="24"/>
      <c r="I166" s="24"/>
      <c r="J166" s="24">
        <v>0.00426</v>
      </c>
      <c r="K166" s="24">
        <f>E166*J166</f>
        <v>0.2908728</v>
      </c>
      <c r="N166" s="5" t="s">
        <v>7</v>
      </c>
      <c r="O166" s="1">
        <f>IF(N166="5",H166,0)</f>
        <v>0</v>
      </c>
      <c r="Z166" s="1">
        <f>IF(AD166=0,I166,0)</f>
        <v>0</v>
      </c>
      <c r="AA166" s="1">
        <f>IF(AD166=15,I166,0)</f>
        <v>0</v>
      </c>
      <c r="AB166" s="1">
        <f>IF(AD166=21,I166,0)</f>
        <v>0</v>
      </c>
      <c r="AD166" s="1">
        <v>21</v>
      </c>
      <c r="AE166" s="1">
        <f>F166*0</f>
        <v>0</v>
      </c>
      <c r="AF166" s="1">
        <f>F166*(1-0)</f>
        <v>0</v>
      </c>
    </row>
    <row r="167" spans="1:32" ht="12.75">
      <c r="A167" s="9"/>
      <c r="B167" s="9"/>
      <c r="C167" s="53" t="s">
        <v>361</v>
      </c>
      <c r="D167" s="9"/>
      <c r="E167" s="24"/>
      <c r="F167" s="24"/>
      <c r="G167" s="24"/>
      <c r="H167" s="24"/>
      <c r="I167" s="24"/>
      <c r="J167" s="24"/>
      <c r="K167" s="24"/>
      <c r="N167" s="5"/>
      <c r="O167" s="1"/>
      <c r="Z167" s="1"/>
      <c r="AA167" s="1"/>
      <c r="AB167" s="1"/>
      <c r="AD167" s="1"/>
      <c r="AE167" s="1"/>
      <c r="AF167" s="1"/>
    </row>
    <row r="168" spans="1:32" ht="12.75">
      <c r="A168" s="9"/>
      <c r="B168" s="9"/>
      <c r="C168" s="53" t="s">
        <v>362</v>
      </c>
      <c r="D168" s="9"/>
      <c r="E168" s="24"/>
      <c r="F168" s="24"/>
      <c r="G168" s="24"/>
      <c r="H168" s="24"/>
      <c r="I168" s="24"/>
      <c r="J168" s="24"/>
      <c r="K168" s="24"/>
      <c r="N168" s="5"/>
      <c r="O168" s="1"/>
      <c r="Z168" s="1"/>
      <c r="AA168" s="1"/>
      <c r="AB168" s="1"/>
      <c r="AD168" s="1"/>
      <c r="AE168" s="1"/>
      <c r="AF168" s="1"/>
    </row>
    <row r="169" spans="1:37" ht="12.75">
      <c r="A169" s="25"/>
      <c r="B169" s="26" t="s">
        <v>96</v>
      </c>
      <c r="C169" s="79" t="s">
        <v>176</v>
      </c>
      <c r="D169" s="80"/>
      <c r="E169" s="80"/>
      <c r="F169" s="80"/>
      <c r="G169" s="27"/>
      <c r="H169" s="27"/>
      <c r="I169" s="27"/>
      <c r="J169" s="28"/>
      <c r="K169" s="27">
        <f>SUM(K170:K171)</f>
        <v>0.05529</v>
      </c>
      <c r="P169" s="6">
        <f>IF(Q169="PR",I169,SUM(O170:O171))</f>
        <v>0</v>
      </c>
      <c r="Q169" s="2" t="s">
        <v>250</v>
      </c>
      <c r="R169" s="6">
        <f>IF(Q169="HS",G169,0)</f>
        <v>0</v>
      </c>
      <c r="S169" s="6">
        <f>IF(Q169="HS",H169-P169,0)</f>
        <v>0</v>
      </c>
      <c r="T169" s="6">
        <f>IF(Q169="PS",G169,0)</f>
        <v>0</v>
      </c>
      <c r="U169" s="6">
        <f>IF(Q169="PS",H169-P169,0)</f>
        <v>0</v>
      </c>
      <c r="V169" s="6">
        <f>IF(Q169="MP",G169,0)</f>
        <v>0</v>
      </c>
      <c r="W169" s="6">
        <f>IF(Q169="MP",H169-P169,0)</f>
        <v>0</v>
      </c>
      <c r="X169" s="6">
        <f>IF(Q169="OM",G169,0)</f>
        <v>0</v>
      </c>
      <c r="Y169" s="2"/>
      <c r="AI169" s="6">
        <f>SUM(Z170:Z171)</f>
        <v>0</v>
      </c>
      <c r="AJ169" s="6">
        <f>SUM(AA170:AA171)</f>
        <v>0</v>
      </c>
      <c r="AK169" s="6">
        <f>SUM(AB170:AB171)</f>
        <v>0</v>
      </c>
    </row>
    <row r="170" spans="1:32" ht="12.75">
      <c r="A170" s="9" t="s">
        <v>34</v>
      </c>
      <c r="B170" s="9" t="s">
        <v>97</v>
      </c>
      <c r="C170" s="9" t="s">
        <v>177</v>
      </c>
      <c r="D170" s="9" t="s">
        <v>229</v>
      </c>
      <c r="E170" s="24">
        <v>1</v>
      </c>
      <c r="F170" s="24"/>
      <c r="G170" s="24"/>
      <c r="H170" s="24"/>
      <c r="I170" s="24"/>
      <c r="J170" s="24">
        <v>0.00029</v>
      </c>
      <c r="K170" s="24">
        <f>E170*J170</f>
        <v>0.00029</v>
      </c>
      <c r="N170" s="5" t="s">
        <v>7</v>
      </c>
      <c r="O170" s="1">
        <f>IF(N170="5",H170,0)</f>
        <v>0</v>
      </c>
      <c r="Z170" s="1">
        <f>IF(AD170=0,I170,0)</f>
        <v>0</v>
      </c>
      <c r="AA170" s="1">
        <f>IF(AD170=15,I170,0)</f>
        <v>0</v>
      </c>
      <c r="AB170" s="1">
        <f>IF(AD170=21,I170,0)</f>
        <v>0</v>
      </c>
      <c r="AD170" s="1">
        <v>21</v>
      </c>
      <c r="AE170" s="1">
        <f>F170*0.147249190938511</f>
        <v>0</v>
      </c>
      <c r="AF170" s="1">
        <f>F170*(1-0.147249190938511)</f>
        <v>0</v>
      </c>
    </row>
    <row r="171" spans="1:32" ht="12.75">
      <c r="A171" s="9" t="s">
        <v>35</v>
      </c>
      <c r="B171" s="9" t="s">
        <v>98</v>
      </c>
      <c r="C171" s="9" t="s">
        <v>178</v>
      </c>
      <c r="D171" s="9" t="s">
        <v>226</v>
      </c>
      <c r="E171" s="24">
        <v>55</v>
      </c>
      <c r="F171" s="24"/>
      <c r="G171" s="24"/>
      <c r="H171" s="24"/>
      <c r="I171" s="24"/>
      <c r="J171" s="24">
        <v>0.001</v>
      </c>
      <c r="K171" s="24">
        <f>E171*J171</f>
        <v>0.055</v>
      </c>
      <c r="N171" s="5" t="s">
        <v>7</v>
      </c>
      <c r="O171" s="1">
        <f>IF(N171="5",H171,0)</f>
        <v>0</v>
      </c>
      <c r="Z171" s="1">
        <f>IF(AD171=0,I171,0)</f>
        <v>0</v>
      </c>
      <c r="AA171" s="1">
        <f>IF(AD171=15,I171,0)</f>
        <v>0</v>
      </c>
      <c r="AB171" s="1">
        <f>IF(AD171=21,I171,0)</f>
        <v>0</v>
      </c>
      <c r="AD171" s="1">
        <v>21</v>
      </c>
      <c r="AE171" s="1">
        <f>F171*0.154036498608104</f>
        <v>0</v>
      </c>
      <c r="AF171" s="1">
        <f>F171*(1-0.154036498608104)</f>
        <v>0</v>
      </c>
    </row>
    <row r="172" spans="1:32" ht="12.75">
      <c r="A172" s="9"/>
      <c r="B172" s="9"/>
      <c r="C172" s="53" t="s">
        <v>363</v>
      </c>
      <c r="D172" s="9"/>
      <c r="E172" s="24"/>
      <c r="F172" s="24"/>
      <c r="G172" s="24"/>
      <c r="H172" s="24"/>
      <c r="I172" s="24"/>
      <c r="J172" s="24"/>
      <c r="K172" s="24"/>
      <c r="N172" s="5"/>
      <c r="O172" s="1"/>
      <c r="Z172" s="1"/>
      <c r="AA172" s="1"/>
      <c r="AB172" s="1"/>
      <c r="AD172" s="1"/>
      <c r="AE172" s="1"/>
      <c r="AF172" s="1"/>
    </row>
    <row r="173" spans="1:32" ht="12.75">
      <c r="A173" s="9"/>
      <c r="B173" s="9"/>
      <c r="C173" s="53" t="s">
        <v>364</v>
      </c>
      <c r="D173" s="9"/>
      <c r="E173" s="24"/>
      <c r="F173" s="24"/>
      <c r="G173" s="24"/>
      <c r="H173" s="24"/>
      <c r="I173" s="24"/>
      <c r="J173" s="24"/>
      <c r="K173" s="24"/>
      <c r="N173" s="5"/>
      <c r="O173" s="1"/>
      <c r="Z173" s="1"/>
      <c r="AA173" s="1"/>
      <c r="AB173" s="1"/>
      <c r="AD173" s="1"/>
      <c r="AE173" s="1"/>
      <c r="AF173" s="1"/>
    </row>
    <row r="174" spans="1:32" ht="12.75">
      <c r="A174" s="9"/>
      <c r="B174" s="9"/>
      <c r="C174" s="53" t="s">
        <v>61</v>
      </c>
      <c r="D174" s="9"/>
      <c r="E174" s="24"/>
      <c r="F174" s="24"/>
      <c r="G174" s="24"/>
      <c r="H174" s="24"/>
      <c r="I174" s="24"/>
      <c r="J174" s="24"/>
      <c r="K174" s="24"/>
      <c r="N174" s="5"/>
      <c r="O174" s="1"/>
      <c r="Z174" s="1"/>
      <c r="AA174" s="1"/>
      <c r="AB174" s="1"/>
      <c r="AD174" s="1"/>
      <c r="AE174" s="1"/>
      <c r="AF174" s="1"/>
    </row>
    <row r="175" spans="1:37" ht="12.75">
      <c r="A175" s="25"/>
      <c r="B175" s="26" t="s">
        <v>99</v>
      </c>
      <c r="C175" s="79" t="s">
        <v>179</v>
      </c>
      <c r="D175" s="80"/>
      <c r="E175" s="80"/>
      <c r="F175" s="80"/>
      <c r="G175" s="27"/>
      <c r="H175" s="27"/>
      <c r="I175" s="27"/>
      <c r="J175" s="28"/>
      <c r="K175" s="27">
        <f>SUM(K176:K176)</f>
        <v>0.001584</v>
      </c>
      <c r="P175" s="6">
        <f>IF(Q175="PR",I175,SUM(O176:O176))</f>
        <v>0</v>
      </c>
      <c r="Q175" s="2" t="s">
        <v>250</v>
      </c>
      <c r="R175" s="6">
        <f>IF(Q175="HS",G175,0)</f>
        <v>0</v>
      </c>
      <c r="S175" s="6">
        <f>IF(Q175="HS",H175-P175,0)</f>
        <v>0</v>
      </c>
      <c r="T175" s="6">
        <f>IF(Q175="PS",G175,0)</f>
        <v>0</v>
      </c>
      <c r="U175" s="6">
        <f>IF(Q175="PS",H175-P175,0)</f>
        <v>0</v>
      </c>
      <c r="V175" s="6">
        <f>IF(Q175="MP",G175,0)</f>
        <v>0</v>
      </c>
      <c r="W175" s="6">
        <f>IF(Q175="MP",H175-P175,0)</f>
        <v>0</v>
      </c>
      <c r="X175" s="6">
        <f>IF(Q175="OM",G175,0)</f>
        <v>0</v>
      </c>
      <c r="Y175" s="2"/>
      <c r="AI175" s="6">
        <f>SUM(Z176:Z176)</f>
        <v>0</v>
      </c>
      <c r="AJ175" s="6">
        <f>SUM(AA176:AA176)</f>
        <v>0</v>
      </c>
      <c r="AK175" s="6">
        <f>SUM(AB176:AB176)</f>
        <v>0</v>
      </c>
    </row>
    <row r="176" spans="1:32" ht="12.75">
      <c r="A176" s="9" t="s">
        <v>36</v>
      </c>
      <c r="B176" s="9" t="s">
        <v>100</v>
      </c>
      <c r="C176" s="9" t="s">
        <v>180</v>
      </c>
      <c r="D176" s="9" t="s">
        <v>223</v>
      </c>
      <c r="E176" s="24">
        <v>0.66</v>
      </c>
      <c r="F176" s="24"/>
      <c r="G176" s="24"/>
      <c r="H176" s="24"/>
      <c r="I176" s="24"/>
      <c r="J176" s="24">
        <v>0.0024</v>
      </c>
      <c r="K176" s="24">
        <f>E176*J176</f>
        <v>0.001584</v>
      </c>
      <c r="N176" s="5" t="s">
        <v>7</v>
      </c>
      <c r="O176" s="1">
        <f>IF(N176="5",H176,0)</f>
        <v>0</v>
      </c>
      <c r="Z176" s="1">
        <f>IF(AD176=0,I176,0)</f>
        <v>0</v>
      </c>
      <c r="AA176" s="1">
        <f>IF(AD176=15,I176,0)</f>
        <v>0</v>
      </c>
      <c r="AB176" s="1">
        <f>IF(AD176=21,I176,0)</f>
        <v>0</v>
      </c>
      <c r="AD176" s="1">
        <v>21</v>
      </c>
      <c r="AE176" s="1">
        <f>F176*0.181035294117647</f>
        <v>0</v>
      </c>
      <c r="AF176" s="1">
        <f>F176*(1-0.181035294117647)</f>
        <v>0</v>
      </c>
    </row>
    <row r="177" spans="1:32" ht="12.75">
      <c r="A177" s="9"/>
      <c r="B177" s="9"/>
      <c r="C177" s="53" t="s">
        <v>365</v>
      </c>
      <c r="D177" s="9"/>
      <c r="E177" s="24"/>
      <c r="F177" s="24"/>
      <c r="G177" s="24"/>
      <c r="H177" s="24"/>
      <c r="I177" s="24"/>
      <c r="J177" s="24"/>
      <c r="K177" s="24"/>
      <c r="N177" s="5"/>
      <c r="O177" s="1"/>
      <c r="Z177" s="1"/>
      <c r="AA177" s="1"/>
      <c r="AB177" s="1"/>
      <c r="AD177" s="1"/>
      <c r="AE177" s="1"/>
      <c r="AF177" s="1"/>
    </row>
    <row r="178" spans="1:32" ht="12.75">
      <c r="A178" s="9"/>
      <c r="B178" s="9"/>
      <c r="C178" s="53" t="s">
        <v>366</v>
      </c>
      <c r="D178" s="9"/>
      <c r="E178" s="24"/>
      <c r="F178" s="24"/>
      <c r="G178" s="24"/>
      <c r="H178" s="24"/>
      <c r="I178" s="24"/>
      <c r="J178" s="24"/>
      <c r="K178" s="24"/>
      <c r="N178" s="5"/>
      <c r="O178" s="1"/>
      <c r="Z178" s="1"/>
      <c r="AA178" s="1"/>
      <c r="AB178" s="1"/>
      <c r="AD178" s="1"/>
      <c r="AE178" s="1"/>
      <c r="AF178" s="1"/>
    </row>
    <row r="179" spans="1:37" ht="12.75">
      <c r="A179" s="25"/>
      <c r="B179" s="26" t="s">
        <v>101</v>
      </c>
      <c r="C179" s="79" t="s">
        <v>181</v>
      </c>
      <c r="D179" s="80"/>
      <c r="E179" s="80"/>
      <c r="F179" s="80"/>
      <c r="G179" s="27"/>
      <c r="H179" s="27"/>
      <c r="I179" s="27"/>
      <c r="J179" s="28"/>
      <c r="K179" s="27">
        <f>SUM(K180:K183)</f>
        <v>0.00046200000000000006</v>
      </c>
      <c r="P179" s="6">
        <f>IF(Q179="PR",I179,SUM(O180:O183))</f>
        <v>0</v>
      </c>
      <c r="Q179" s="2" t="s">
        <v>250</v>
      </c>
      <c r="R179" s="6">
        <f>IF(Q179="HS",G179,0)</f>
        <v>0</v>
      </c>
      <c r="S179" s="6">
        <f>IF(Q179="HS",H179-P179,0)</f>
        <v>0</v>
      </c>
      <c r="T179" s="6">
        <f>IF(Q179="PS",G179,0)</f>
        <v>0</v>
      </c>
      <c r="U179" s="6">
        <f>IF(Q179="PS",H179-P179,0)</f>
        <v>0</v>
      </c>
      <c r="V179" s="6">
        <f>IF(Q179="MP",G179,0)</f>
        <v>0</v>
      </c>
      <c r="W179" s="6">
        <f>IF(Q179="MP",H179-P179,0)</f>
        <v>0</v>
      </c>
      <c r="X179" s="6">
        <f>IF(Q179="OM",G179,0)</f>
        <v>0</v>
      </c>
      <c r="Y179" s="2"/>
      <c r="AI179" s="6">
        <f>SUM(Z180:Z183)</f>
        <v>0</v>
      </c>
      <c r="AJ179" s="6">
        <f>SUM(AA180:AA183)</f>
        <v>0</v>
      </c>
      <c r="AK179" s="6">
        <f>SUM(AB180:AB183)</f>
        <v>0</v>
      </c>
    </row>
    <row r="180" spans="1:32" ht="12.75">
      <c r="A180" s="9" t="s">
        <v>37</v>
      </c>
      <c r="B180" s="9" t="s">
        <v>102</v>
      </c>
      <c r="C180" s="9" t="s">
        <v>182</v>
      </c>
      <c r="D180" s="9" t="s">
        <v>223</v>
      </c>
      <c r="E180" s="24">
        <v>0.55</v>
      </c>
      <c r="F180" s="24"/>
      <c r="G180" s="24"/>
      <c r="H180" s="24"/>
      <c r="I180" s="24"/>
      <c r="J180" s="24">
        <v>0</v>
      </c>
      <c r="K180" s="24">
        <f>E180*J180</f>
        <v>0</v>
      </c>
      <c r="N180" s="5" t="s">
        <v>7</v>
      </c>
      <c r="O180" s="1">
        <f>IF(N180="5",H180,0)</f>
        <v>0</v>
      </c>
      <c r="Z180" s="1">
        <f>IF(AD180=0,I180,0)</f>
        <v>0</v>
      </c>
      <c r="AA180" s="1">
        <f>IF(AD180=15,I180,0)</f>
        <v>0</v>
      </c>
      <c r="AB180" s="1">
        <f>IF(AD180=21,I180,0)</f>
        <v>0</v>
      </c>
      <c r="AD180" s="1">
        <v>21</v>
      </c>
      <c r="AE180" s="1">
        <f>F180*0.0638181818181818</f>
        <v>0</v>
      </c>
      <c r="AF180" s="1">
        <f>F180*(1-0.0638181818181818)</f>
        <v>0</v>
      </c>
    </row>
    <row r="181" spans="1:32" ht="12.75">
      <c r="A181" s="9"/>
      <c r="B181" s="9"/>
      <c r="C181" s="53" t="s">
        <v>367</v>
      </c>
      <c r="D181" s="9"/>
      <c r="E181" s="24"/>
      <c r="F181" s="24"/>
      <c r="G181" s="24"/>
      <c r="H181" s="24"/>
      <c r="I181" s="24"/>
      <c r="J181" s="24"/>
      <c r="K181" s="24"/>
      <c r="N181" s="5"/>
      <c r="O181" s="1"/>
      <c r="Z181" s="1"/>
      <c r="AA181" s="1"/>
      <c r="AB181" s="1"/>
      <c r="AD181" s="1"/>
      <c r="AE181" s="1"/>
      <c r="AF181" s="1"/>
    </row>
    <row r="182" spans="1:32" ht="12.75">
      <c r="A182" s="9"/>
      <c r="B182" s="9"/>
      <c r="C182" s="53" t="s">
        <v>368</v>
      </c>
      <c r="D182" s="9"/>
      <c r="E182" s="24"/>
      <c r="F182" s="24"/>
      <c r="G182" s="24"/>
      <c r="H182" s="24"/>
      <c r="I182" s="24"/>
      <c r="J182" s="24"/>
      <c r="K182" s="24"/>
      <c r="N182" s="5"/>
      <c r="O182" s="1"/>
      <c r="Z182" s="1"/>
      <c r="AA182" s="1"/>
      <c r="AB182" s="1"/>
      <c r="AD182" s="1"/>
      <c r="AE182" s="1"/>
      <c r="AF182" s="1"/>
    </row>
    <row r="183" spans="1:32" ht="12.75">
      <c r="A183" s="9" t="s">
        <v>38</v>
      </c>
      <c r="B183" s="9" t="s">
        <v>103</v>
      </c>
      <c r="C183" s="9" t="s">
        <v>183</v>
      </c>
      <c r="D183" s="9" t="s">
        <v>223</v>
      </c>
      <c r="E183" s="24">
        <v>0.55</v>
      </c>
      <c r="F183" s="24"/>
      <c r="G183" s="24"/>
      <c r="H183" s="24"/>
      <c r="I183" s="24"/>
      <c r="J183" s="24">
        <v>0.00084</v>
      </c>
      <c r="K183" s="24">
        <f>E183*J183</f>
        <v>0.00046200000000000006</v>
      </c>
      <c r="N183" s="5" t="s">
        <v>7</v>
      </c>
      <c r="O183" s="1">
        <f>IF(N183="5",H183,0)</f>
        <v>0</v>
      </c>
      <c r="Z183" s="1">
        <f>IF(AD183=0,I183,0)</f>
        <v>0</v>
      </c>
      <c r="AA183" s="1">
        <f>IF(AD183=15,I183,0)</f>
        <v>0</v>
      </c>
      <c r="AB183" s="1">
        <f>IF(AD183=21,I183,0)</f>
        <v>0</v>
      </c>
      <c r="AD183" s="1">
        <v>21</v>
      </c>
      <c r="AE183" s="1">
        <f>F183*0.64637037037037</f>
        <v>0</v>
      </c>
      <c r="AF183" s="1">
        <f>F183*(1-0.64637037037037)</f>
        <v>0</v>
      </c>
    </row>
    <row r="184" spans="1:37" ht="12.75">
      <c r="A184" s="25"/>
      <c r="B184" s="26" t="s">
        <v>104</v>
      </c>
      <c r="C184" s="79" t="s">
        <v>184</v>
      </c>
      <c r="D184" s="80"/>
      <c r="E184" s="80"/>
      <c r="F184" s="80"/>
      <c r="G184" s="27"/>
      <c r="H184" s="27"/>
      <c r="I184" s="27"/>
      <c r="J184" s="28"/>
      <c r="K184" s="27">
        <f>SUM(K185:K185)</f>
        <v>14.273724</v>
      </c>
      <c r="P184" s="6">
        <f>IF(Q184="PR",I184,SUM(O185:O185))</f>
        <v>0</v>
      </c>
      <c r="Q184" s="2" t="s">
        <v>249</v>
      </c>
      <c r="R184" s="6">
        <f>IF(Q184="HS",G184,0)</f>
        <v>0</v>
      </c>
      <c r="S184" s="6">
        <f>IF(Q184="HS",H184-P184,0)</f>
        <v>0</v>
      </c>
      <c r="T184" s="6">
        <f>IF(Q184="PS",G184,0)</f>
        <v>0</v>
      </c>
      <c r="U184" s="6">
        <f>IF(Q184="PS",H184-P184,0)</f>
        <v>0</v>
      </c>
      <c r="V184" s="6">
        <f>IF(Q184="MP",G184,0)</f>
        <v>0</v>
      </c>
      <c r="W184" s="6">
        <f>IF(Q184="MP",H184-P184,0)</f>
        <v>0</v>
      </c>
      <c r="X184" s="6">
        <f>IF(Q184="OM",G184,0)</f>
        <v>0</v>
      </c>
      <c r="Y184" s="2"/>
      <c r="AI184" s="6">
        <f>SUM(Z185:Z185)</f>
        <v>0</v>
      </c>
      <c r="AJ184" s="6">
        <f>SUM(AA185:AA185)</f>
        <v>0</v>
      </c>
      <c r="AK184" s="6">
        <f>SUM(AB185:AB185)</f>
        <v>0</v>
      </c>
    </row>
    <row r="185" spans="1:32" ht="12.75">
      <c r="A185" s="9" t="s">
        <v>39</v>
      </c>
      <c r="B185" s="9" t="s">
        <v>105</v>
      </c>
      <c r="C185" s="9" t="s">
        <v>185</v>
      </c>
      <c r="D185" s="9" t="s">
        <v>225</v>
      </c>
      <c r="E185" s="24">
        <v>121.2</v>
      </c>
      <c r="F185" s="24"/>
      <c r="G185" s="24"/>
      <c r="H185" s="24"/>
      <c r="I185" s="24"/>
      <c r="J185" s="24">
        <v>0.11777</v>
      </c>
      <c r="K185" s="24">
        <f>E185*J185</f>
        <v>14.273724</v>
      </c>
      <c r="N185" s="5" t="s">
        <v>7</v>
      </c>
      <c r="O185" s="1">
        <f>IF(N185="5",H185,0)</f>
        <v>0</v>
      </c>
      <c r="Z185" s="1">
        <f>IF(AD185=0,I185,0)</f>
        <v>0</v>
      </c>
      <c r="AA185" s="1">
        <f>IF(AD185=15,I185,0)</f>
        <v>0</v>
      </c>
      <c r="AB185" s="1">
        <f>IF(AD185=21,I185,0)</f>
        <v>0</v>
      </c>
      <c r="AD185" s="1">
        <v>21</v>
      </c>
      <c r="AE185" s="1">
        <f>F185*0.80599006256901</f>
        <v>0</v>
      </c>
      <c r="AF185" s="1">
        <f>F185*(1-0.80599006256901)</f>
        <v>0</v>
      </c>
    </row>
    <row r="186" spans="1:32" ht="12.75">
      <c r="A186" s="9"/>
      <c r="B186" s="9"/>
      <c r="C186" s="53" t="s">
        <v>370</v>
      </c>
      <c r="D186" s="9"/>
      <c r="E186" s="24"/>
      <c r="F186" s="24"/>
      <c r="G186" s="24"/>
      <c r="H186" s="24"/>
      <c r="I186" s="24"/>
      <c r="J186" s="24"/>
      <c r="K186" s="24"/>
      <c r="N186" s="5"/>
      <c r="O186" s="1"/>
      <c r="Z186" s="1"/>
      <c r="AA186" s="1"/>
      <c r="AB186" s="1"/>
      <c r="AD186" s="1"/>
      <c r="AE186" s="1"/>
      <c r="AF186" s="1"/>
    </row>
    <row r="187" spans="1:32" ht="12.75">
      <c r="A187" s="9"/>
      <c r="B187" s="9"/>
      <c r="C187" s="53" t="s">
        <v>371</v>
      </c>
      <c r="D187" s="9"/>
      <c r="E187" s="24"/>
      <c r="F187" s="24"/>
      <c r="G187" s="24"/>
      <c r="H187" s="24"/>
      <c r="I187" s="24"/>
      <c r="J187" s="24"/>
      <c r="K187" s="24"/>
      <c r="N187" s="5"/>
      <c r="O187" s="1"/>
      <c r="Z187" s="1"/>
      <c r="AA187" s="1"/>
      <c r="AB187" s="1"/>
      <c r="AD187" s="1"/>
      <c r="AE187" s="1"/>
      <c r="AF187" s="1"/>
    </row>
    <row r="188" spans="1:37" ht="12.75">
      <c r="A188" s="25"/>
      <c r="B188" s="26" t="s">
        <v>106</v>
      </c>
      <c r="C188" s="79" t="s">
        <v>186</v>
      </c>
      <c r="D188" s="80"/>
      <c r="E188" s="80"/>
      <c r="F188" s="80"/>
      <c r="G188" s="27"/>
      <c r="H188" s="27"/>
      <c r="I188" s="27"/>
      <c r="J188" s="28"/>
      <c r="K188" s="27">
        <f>SUM(K189:K211)</f>
        <v>11.857260000000002</v>
      </c>
      <c r="P188" s="6">
        <f>IF(Q188="PR",I188,SUM(O189:O211))</f>
        <v>0</v>
      </c>
      <c r="Q188" s="2" t="s">
        <v>249</v>
      </c>
      <c r="R188" s="6">
        <f>IF(Q188="HS",G188,0)</f>
        <v>0</v>
      </c>
      <c r="S188" s="6">
        <f>IF(Q188="HS",H188-P188,0)</f>
        <v>0</v>
      </c>
      <c r="T188" s="6">
        <f>IF(Q188="PS",G188,0)</f>
        <v>0</v>
      </c>
      <c r="U188" s="6">
        <f>IF(Q188="PS",H188-P188,0)</f>
        <v>0</v>
      </c>
      <c r="V188" s="6">
        <f>IF(Q188="MP",G188,0)</f>
        <v>0</v>
      </c>
      <c r="W188" s="6">
        <f>IF(Q188="MP",H188-P188,0)</f>
        <v>0</v>
      </c>
      <c r="X188" s="6">
        <f>IF(Q188="OM",G188,0)</f>
        <v>0</v>
      </c>
      <c r="Y188" s="2"/>
      <c r="AI188" s="6">
        <f>SUM(Z189:Z211)</f>
        <v>0</v>
      </c>
      <c r="AJ188" s="6">
        <f>SUM(AA189:AA211)</f>
        <v>0</v>
      </c>
      <c r="AK188" s="6">
        <f>SUM(AB189:AB211)</f>
        <v>0</v>
      </c>
    </row>
    <row r="189" spans="1:32" ht="12.75">
      <c r="A189" s="9" t="s">
        <v>40</v>
      </c>
      <c r="B189" s="9" t="s">
        <v>107</v>
      </c>
      <c r="C189" s="9" t="s">
        <v>187</v>
      </c>
      <c r="D189" s="9" t="s">
        <v>224</v>
      </c>
      <c r="E189" s="24">
        <v>2.73</v>
      </c>
      <c r="F189" s="24"/>
      <c r="G189" s="24"/>
      <c r="H189" s="24"/>
      <c r="I189" s="24"/>
      <c r="J189" s="24">
        <v>2.2</v>
      </c>
      <c r="K189" s="24">
        <f>E189*J189</f>
        <v>6.006</v>
      </c>
      <c r="N189" s="5" t="s">
        <v>7</v>
      </c>
      <c r="O189" s="1">
        <f>IF(N189="5",H189,0)</f>
        <v>0</v>
      </c>
      <c r="Z189" s="1">
        <f>IF(AD189=0,I189,0)</f>
        <v>0</v>
      </c>
      <c r="AA189" s="1">
        <f>IF(AD189=15,I189,0)</f>
        <v>0</v>
      </c>
      <c r="AB189" s="1">
        <f>IF(AD189=21,I189,0)</f>
        <v>0</v>
      </c>
      <c r="AD189" s="1">
        <v>21</v>
      </c>
      <c r="AE189" s="1">
        <f>F189*0</f>
        <v>0</v>
      </c>
      <c r="AF189" s="1">
        <f>F189*(1-0)</f>
        <v>0</v>
      </c>
    </row>
    <row r="190" spans="1:32" ht="12.75">
      <c r="A190" s="9"/>
      <c r="B190" s="9"/>
      <c r="C190" s="53" t="s">
        <v>342</v>
      </c>
      <c r="D190" s="9"/>
      <c r="E190" s="24"/>
      <c r="F190" s="24"/>
      <c r="G190" s="24"/>
      <c r="H190" s="24"/>
      <c r="I190" s="24"/>
      <c r="J190" s="24"/>
      <c r="K190" s="24"/>
      <c r="N190" s="5"/>
      <c r="O190" s="1"/>
      <c r="Z190" s="1"/>
      <c r="AA190" s="1"/>
      <c r="AB190" s="1"/>
      <c r="AD190" s="1"/>
      <c r="AE190" s="1"/>
      <c r="AF190" s="1"/>
    </row>
    <row r="191" spans="1:32" ht="12.75">
      <c r="A191" s="9"/>
      <c r="B191" s="9"/>
      <c r="C191" s="53" t="s">
        <v>372</v>
      </c>
      <c r="D191" s="9"/>
      <c r="E191" s="24"/>
      <c r="F191" s="24"/>
      <c r="G191" s="24"/>
      <c r="H191" s="24"/>
      <c r="I191" s="24"/>
      <c r="J191" s="24"/>
      <c r="K191" s="24"/>
      <c r="N191" s="5"/>
      <c r="O191" s="1"/>
      <c r="Z191" s="1"/>
      <c r="AA191" s="1"/>
      <c r="AB191" s="1"/>
      <c r="AD191" s="1"/>
      <c r="AE191" s="1"/>
      <c r="AF191" s="1"/>
    </row>
    <row r="192" spans="1:32" ht="12.75">
      <c r="A192" s="9"/>
      <c r="B192" s="9"/>
      <c r="C192" s="53" t="s">
        <v>373</v>
      </c>
      <c r="D192" s="9"/>
      <c r="E192" s="24"/>
      <c r="F192" s="24"/>
      <c r="G192" s="24"/>
      <c r="H192" s="24"/>
      <c r="I192" s="24"/>
      <c r="J192" s="24"/>
      <c r="K192" s="24"/>
      <c r="N192" s="5"/>
      <c r="O192" s="1"/>
      <c r="Z192" s="1"/>
      <c r="AA192" s="1"/>
      <c r="AB192" s="1"/>
      <c r="AD192" s="1"/>
      <c r="AE192" s="1"/>
      <c r="AF192" s="1"/>
    </row>
    <row r="193" spans="1:32" ht="12.75">
      <c r="A193" s="9"/>
      <c r="B193" s="9"/>
      <c r="C193" s="53" t="s">
        <v>374</v>
      </c>
      <c r="D193" s="9"/>
      <c r="E193" s="24"/>
      <c r="F193" s="24"/>
      <c r="G193" s="24"/>
      <c r="H193" s="24"/>
      <c r="I193" s="24"/>
      <c r="J193" s="24"/>
      <c r="K193" s="24"/>
      <c r="N193" s="5"/>
      <c r="O193" s="1"/>
      <c r="Z193" s="1"/>
      <c r="AA193" s="1"/>
      <c r="AB193" s="1"/>
      <c r="AD193" s="1"/>
      <c r="AE193" s="1"/>
      <c r="AF193" s="1"/>
    </row>
    <row r="194" spans="1:32" ht="12.75">
      <c r="A194" s="9"/>
      <c r="B194" s="9"/>
      <c r="C194" s="53" t="s">
        <v>375</v>
      </c>
      <c r="D194" s="9"/>
      <c r="E194" s="24"/>
      <c r="F194" s="24"/>
      <c r="G194" s="24"/>
      <c r="H194" s="24"/>
      <c r="I194" s="24"/>
      <c r="J194" s="24"/>
      <c r="K194" s="24"/>
      <c r="N194" s="5"/>
      <c r="O194" s="1"/>
      <c r="Z194" s="1"/>
      <c r="AA194" s="1"/>
      <c r="AB194" s="1"/>
      <c r="AD194" s="1"/>
      <c r="AE194" s="1"/>
      <c r="AF194" s="1"/>
    </row>
    <row r="195" spans="1:32" ht="12.75">
      <c r="A195" s="9"/>
      <c r="B195" s="9"/>
      <c r="C195" s="53" t="s">
        <v>374</v>
      </c>
      <c r="D195" s="9"/>
      <c r="E195" s="24"/>
      <c r="F195" s="24"/>
      <c r="G195" s="24"/>
      <c r="H195" s="24"/>
      <c r="I195" s="24"/>
      <c r="J195" s="24"/>
      <c r="K195" s="24"/>
      <c r="N195" s="5"/>
      <c r="O195" s="1"/>
      <c r="Z195" s="1"/>
      <c r="AA195" s="1"/>
      <c r="AB195" s="1"/>
      <c r="AD195" s="1"/>
      <c r="AE195" s="1"/>
      <c r="AF195" s="1"/>
    </row>
    <row r="196" spans="1:32" ht="12.75">
      <c r="A196" s="9" t="s">
        <v>41</v>
      </c>
      <c r="B196" s="9" t="s">
        <v>108</v>
      </c>
      <c r="C196" s="9" t="s">
        <v>188</v>
      </c>
      <c r="D196" s="9" t="s">
        <v>223</v>
      </c>
      <c r="E196" s="24">
        <v>58.1</v>
      </c>
      <c r="F196" s="24"/>
      <c r="G196" s="24"/>
      <c r="H196" s="24"/>
      <c r="I196" s="24"/>
      <c r="J196" s="24">
        <v>0.065</v>
      </c>
      <c r="K196" s="24">
        <f>E196*J196</f>
        <v>3.7765000000000004</v>
      </c>
      <c r="N196" s="5" t="s">
        <v>7</v>
      </c>
      <c r="O196" s="1">
        <f>IF(N196="5",H196,0)</f>
        <v>0</v>
      </c>
      <c r="Z196" s="1">
        <f>IF(AD196=0,I196,0)</f>
        <v>0</v>
      </c>
      <c r="AA196" s="1">
        <f>IF(AD196=15,I196,0)</f>
        <v>0</v>
      </c>
      <c r="AB196" s="1">
        <f>IF(AD196=21,I196,0)</f>
        <v>0</v>
      </c>
      <c r="AD196" s="1">
        <v>21</v>
      </c>
      <c r="AE196" s="1">
        <f>F196*0</f>
        <v>0</v>
      </c>
      <c r="AF196" s="1">
        <f>F196*(1-0)</f>
        <v>0</v>
      </c>
    </row>
    <row r="197" spans="1:32" ht="12.75">
      <c r="A197" s="9"/>
      <c r="B197" s="9"/>
      <c r="C197" s="53" t="s">
        <v>341</v>
      </c>
      <c r="D197" s="9"/>
      <c r="E197" s="24"/>
      <c r="F197" s="24"/>
      <c r="G197" s="24"/>
      <c r="H197" s="24"/>
      <c r="I197" s="24"/>
      <c r="J197" s="24"/>
      <c r="K197" s="24"/>
      <c r="N197" s="5"/>
      <c r="O197" s="1"/>
      <c r="Z197" s="1"/>
      <c r="AA197" s="1"/>
      <c r="AB197" s="1"/>
      <c r="AD197" s="1"/>
      <c r="AE197" s="1"/>
      <c r="AF197" s="1"/>
    </row>
    <row r="198" spans="1:32" ht="12.75">
      <c r="A198" s="9"/>
      <c r="B198" s="9"/>
      <c r="C198" s="53" t="s">
        <v>263</v>
      </c>
      <c r="D198" s="9"/>
      <c r="E198" s="24"/>
      <c r="F198" s="24"/>
      <c r="G198" s="24"/>
      <c r="H198" s="24"/>
      <c r="I198" s="24"/>
      <c r="J198" s="24"/>
      <c r="K198" s="24"/>
      <c r="N198" s="5"/>
      <c r="O198" s="1"/>
      <c r="Z198" s="1"/>
      <c r="AA198" s="1"/>
      <c r="AB198" s="1"/>
      <c r="AD198" s="1"/>
      <c r="AE198" s="1"/>
      <c r="AF198" s="1"/>
    </row>
    <row r="199" spans="1:32" ht="12.75">
      <c r="A199" s="9" t="s">
        <v>42</v>
      </c>
      <c r="B199" s="9" t="s">
        <v>109</v>
      </c>
      <c r="C199" s="9" t="s">
        <v>189</v>
      </c>
      <c r="D199" s="9" t="s">
        <v>223</v>
      </c>
      <c r="E199" s="24">
        <v>11.27</v>
      </c>
      <c r="F199" s="24"/>
      <c r="G199" s="24"/>
      <c r="H199" s="24"/>
      <c r="I199" s="24"/>
      <c r="J199" s="24">
        <v>0.02</v>
      </c>
      <c r="K199" s="24">
        <f>E199*J199</f>
        <v>0.2254</v>
      </c>
      <c r="N199" s="5" t="s">
        <v>7</v>
      </c>
      <c r="O199" s="1">
        <f>IF(N199="5",H199,0)</f>
        <v>0</v>
      </c>
      <c r="Z199" s="1">
        <f>IF(AD199=0,I199,0)</f>
        <v>0</v>
      </c>
      <c r="AA199" s="1">
        <f>IF(AD199=15,I199,0)</f>
        <v>0</v>
      </c>
      <c r="AB199" s="1">
        <f>IF(AD199=21,I199,0)</f>
        <v>0</v>
      </c>
      <c r="AD199" s="1">
        <v>21</v>
      </c>
      <c r="AE199" s="1">
        <f>F199*0</f>
        <v>0</v>
      </c>
      <c r="AF199" s="1">
        <f>F199*(1-0)</f>
        <v>0</v>
      </c>
    </row>
    <row r="200" spans="1:32" ht="12.75">
      <c r="A200" s="9"/>
      <c r="B200" s="9"/>
      <c r="C200" s="53" t="s">
        <v>376</v>
      </c>
      <c r="D200" s="9"/>
      <c r="E200" s="24"/>
      <c r="F200" s="24"/>
      <c r="G200" s="24"/>
      <c r="H200" s="24"/>
      <c r="I200" s="24"/>
      <c r="J200" s="24"/>
      <c r="K200" s="24"/>
      <c r="N200" s="5"/>
      <c r="O200" s="1"/>
      <c r="Z200" s="1"/>
      <c r="AA200" s="1"/>
      <c r="AB200" s="1"/>
      <c r="AD200" s="1"/>
      <c r="AE200" s="1"/>
      <c r="AF200" s="1"/>
    </row>
    <row r="201" spans="1:32" ht="12.75">
      <c r="A201" s="9"/>
      <c r="B201" s="9"/>
      <c r="C201" s="53" t="s">
        <v>377</v>
      </c>
      <c r="D201" s="9"/>
      <c r="E201" s="24"/>
      <c r="F201" s="24"/>
      <c r="G201" s="24"/>
      <c r="H201" s="24"/>
      <c r="I201" s="24"/>
      <c r="J201" s="24"/>
      <c r="K201" s="24"/>
      <c r="N201" s="5"/>
      <c r="O201" s="1"/>
      <c r="Z201" s="1"/>
      <c r="AA201" s="1"/>
      <c r="AB201" s="1"/>
      <c r="AD201" s="1"/>
      <c r="AE201" s="1"/>
      <c r="AF201" s="1"/>
    </row>
    <row r="202" spans="1:32" ht="12.75">
      <c r="A202" s="9"/>
      <c r="B202" s="9"/>
      <c r="C202" s="53" t="s">
        <v>378</v>
      </c>
      <c r="D202" s="9"/>
      <c r="E202" s="24"/>
      <c r="F202" s="24"/>
      <c r="G202" s="24"/>
      <c r="H202" s="24"/>
      <c r="I202" s="24"/>
      <c r="J202" s="24"/>
      <c r="K202" s="24"/>
      <c r="N202" s="5"/>
      <c r="O202" s="1"/>
      <c r="Z202" s="1"/>
      <c r="AA202" s="1"/>
      <c r="AB202" s="1"/>
      <c r="AD202" s="1"/>
      <c r="AE202" s="1"/>
      <c r="AF202" s="1"/>
    </row>
    <row r="203" spans="1:32" ht="12.75">
      <c r="A203" s="9"/>
      <c r="B203" s="9"/>
      <c r="C203" s="53" t="s">
        <v>379</v>
      </c>
      <c r="D203" s="9"/>
      <c r="E203" s="24"/>
      <c r="F203" s="24"/>
      <c r="G203" s="24"/>
      <c r="H203" s="24"/>
      <c r="I203" s="24"/>
      <c r="J203" s="24"/>
      <c r="K203" s="24"/>
      <c r="N203" s="5"/>
      <c r="O203" s="1"/>
      <c r="Z203" s="1"/>
      <c r="AA203" s="1"/>
      <c r="AB203" s="1"/>
      <c r="AD203" s="1"/>
      <c r="AE203" s="1"/>
      <c r="AF203" s="1"/>
    </row>
    <row r="204" spans="1:32" ht="12.75">
      <c r="A204" s="9" t="s">
        <v>43</v>
      </c>
      <c r="B204" s="9" t="s">
        <v>110</v>
      </c>
      <c r="C204" s="9" t="s">
        <v>190</v>
      </c>
      <c r="D204" s="9" t="s">
        <v>227</v>
      </c>
      <c r="E204" s="24">
        <v>8</v>
      </c>
      <c r="F204" s="24"/>
      <c r="G204" s="24"/>
      <c r="H204" s="24"/>
      <c r="I204" s="24"/>
      <c r="J204" s="24">
        <v>0</v>
      </c>
      <c r="K204" s="24">
        <f>E204*J204</f>
        <v>0</v>
      </c>
      <c r="N204" s="5" t="s">
        <v>7</v>
      </c>
      <c r="O204" s="1">
        <f>IF(N204="5",H204,0)</f>
        <v>0</v>
      </c>
      <c r="Z204" s="1">
        <f>IF(AD204=0,I204,0)</f>
        <v>0</v>
      </c>
      <c r="AA204" s="1">
        <f>IF(AD204=15,I204,0)</f>
        <v>0</v>
      </c>
      <c r="AB204" s="1">
        <f>IF(AD204=21,I204,0)</f>
        <v>0</v>
      </c>
      <c r="AD204" s="1">
        <v>21</v>
      </c>
      <c r="AE204" s="1">
        <f>F204*0</f>
        <v>0</v>
      </c>
      <c r="AF204" s="1">
        <f>F204*(1-0)</f>
        <v>0</v>
      </c>
    </row>
    <row r="205" spans="1:32" ht="12.75">
      <c r="A205" s="9" t="s">
        <v>44</v>
      </c>
      <c r="B205" s="9" t="s">
        <v>111</v>
      </c>
      <c r="C205" s="9" t="s">
        <v>191</v>
      </c>
      <c r="D205" s="9" t="s">
        <v>223</v>
      </c>
      <c r="E205" s="24">
        <v>6.48</v>
      </c>
      <c r="F205" s="24"/>
      <c r="G205" s="24"/>
      <c r="H205" s="24"/>
      <c r="I205" s="24"/>
      <c r="J205" s="24">
        <v>0.062</v>
      </c>
      <c r="K205" s="24">
        <f>E205*J205</f>
        <v>0.40176</v>
      </c>
      <c r="N205" s="5" t="s">
        <v>7</v>
      </c>
      <c r="O205" s="1">
        <f>IF(N205="5",H205,0)</f>
        <v>0</v>
      </c>
      <c r="Z205" s="1">
        <f>IF(AD205=0,I205,0)</f>
        <v>0</v>
      </c>
      <c r="AA205" s="1">
        <f>IF(AD205=15,I205,0)</f>
        <v>0</v>
      </c>
      <c r="AB205" s="1">
        <f>IF(AD205=21,I205,0)</f>
        <v>0</v>
      </c>
      <c r="AD205" s="1">
        <v>21</v>
      </c>
      <c r="AE205" s="1">
        <f>F205*0.151214833759591</f>
        <v>0</v>
      </c>
      <c r="AF205" s="1">
        <f>F205*(1-0.151214833759591)</f>
        <v>0</v>
      </c>
    </row>
    <row r="206" spans="1:32" ht="12.75">
      <c r="A206" s="9"/>
      <c r="B206" s="9"/>
      <c r="C206" s="53" t="s">
        <v>380</v>
      </c>
      <c r="D206" s="9"/>
      <c r="E206" s="24"/>
      <c r="F206" s="24"/>
      <c r="G206" s="24"/>
      <c r="H206" s="24"/>
      <c r="I206" s="24"/>
      <c r="J206" s="24"/>
      <c r="K206" s="24"/>
      <c r="N206" s="5"/>
      <c r="O206" s="1"/>
      <c r="Z206" s="1"/>
      <c r="AA206" s="1"/>
      <c r="AB206" s="1"/>
      <c r="AD206" s="1"/>
      <c r="AE206" s="1"/>
      <c r="AF206" s="1"/>
    </row>
    <row r="207" spans="1:32" ht="12.75">
      <c r="A207" s="9" t="s">
        <v>45</v>
      </c>
      <c r="B207" s="9" t="s">
        <v>112</v>
      </c>
      <c r="C207" s="9" t="s">
        <v>192</v>
      </c>
      <c r="D207" s="9" t="s">
        <v>224</v>
      </c>
      <c r="E207" s="24">
        <v>0.68</v>
      </c>
      <c r="F207" s="24"/>
      <c r="G207" s="24"/>
      <c r="H207" s="24"/>
      <c r="I207" s="24"/>
      <c r="J207" s="24">
        <v>1.95</v>
      </c>
      <c r="K207" s="24">
        <f>E207*J207</f>
        <v>1.326</v>
      </c>
      <c r="N207" s="5" t="s">
        <v>7</v>
      </c>
      <c r="O207" s="1">
        <f>IF(N207="5",H207,0)</f>
        <v>0</v>
      </c>
      <c r="Z207" s="1">
        <f>IF(AD207=0,I207,0)</f>
        <v>0</v>
      </c>
      <c r="AA207" s="1">
        <f>IF(AD207=15,I207,0)</f>
        <v>0</v>
      </c>
      <c r="AB207" s="1">
        <f>IF(AD207=21,I207,0)</f>
        <v>0</v>
      </c>
      <c r="AD207" s="1">
        <v>21</v>
      </c>
      <c r="AE207" s="1">
        <f>F207*0.0423849878934625</f>
        <v>0</v>
      </c>
      <c r="AF207" s="1">
        <f>F207*(1-0.0423849878934625)</f>
        <v>0</v>
      </c>
    </row>
    <row r="208" spans="1:32" ht="12.75">
      <c r="A208" s="9"/>
      <c r="B208" s="9"/>
      <c r="C208" s="53" t="s">
        <v>381</v>
      </c>
      <c r="D208" s="9"/>
      <c r="E208" s="24"/>
      <c r="F208" s="24"/>
      <c r="G208" s="24"/>
      <c r="H208" s="24"/>
      <c r="I208" s="24"/>
      <c r="J208" s="24"/>
      <c r="K208" s="24"/>
      <c r="N208" s="5"/>
      <c r="O208" s="1"/>
      <c r="Z208" s="1"/>
      <c r="AA208" s="1"/>
      <c r="AB208" s="1"/>
      <c r="AD208" s="1"/>
      <c r="AE208" s="1"/>
      <c r="AF208" s="1"/>
    </row>
    <row r="209" spans="1:32" ht="12.75">
      <c r="A209" s="9"/>
      <c r="B209" s="9"/>
      <c r="C209" s="53" t="s">
        <v>382</v>
      </c>
      <c r="D209" s="9"/>
      <c r="E209" s="24"/>
      <c r="F209" s="24"/>
      <c r="G209" s="24"/>
      <c r="H209" s="24"/>
      <c r="I209" s="24"/>
      <c r="J209" s="24"/>
      <c r="K209" s="24"/>
      <c r="N209" s="5"/>
      <c r="O209" s="1"/>
      <c r="Z209" s="1"/>
      <c r="AA209" s="1"/>
      <c r="AB209" s="1"/>
      <c r="AD209" s="1"/>
      <c r="AE209" s="1"/>
      <c r="AF209" s="1"/>
    </row>
    <row r="210" spans="1:32" ht="12.75">
      <c r="A210" s="9" t="s">
        <v>46</v>
      </c>
      <c r="B210" s="9" t="s">
        <v>113</v>
      </c>
      <c r="C210" s="9" t="s">
        <v>193</v>
      </c>
      <c r="D210" s="9" t="s">
        <v>227</v>
      </c>
      <c r="E210" s="24">
        <v>1</v>
      </c>
      <c r="F210" s="24"/>
      <c r="G210" s="24"/>
      <c r="H210" s="24"/>
      <c r="I210" s="24"/>
      <c r="J210" s="24">
        <v>0</v>
      </c>
      <c r="K210" s="24">
        <f>E210*J210</f>
        <v>0</v>
      </c>
      <c r="N210" s="5" t="s">
        <v>7</v>
      </c>
      <c r="O210" s="1">
        <f>IF(N210="5",H210,0)</f>
        <v>0</v>
      </c>
      <c r="Z210" s="1">
        <f>IF(AD210=0,I210,0)</f>
        <v>0</v>
      </c>
      <c r="AA210" s="1">
        <f>IF(AD210=15,I210,0)</f>
        <v>0</v>
      </c>
      <c r="AB210" s="1">
        <f>IF(AD210=21,I210,0)</f>
        <v>0</v>
      </c>
      <c r="AD210" s="1">
        <v>21</v>
      </c>
      <c r="AE210" s="1">
        <f>F210*0</f>
        <v>0</v>
      </c>
      <c r="AF210" s="1">
        <f>F210*(1-0)</f>
        <v>0</v>
      </c>
    </row>
    <row r="211" spans="1:32" ht="12.75">
      <c r="A211" s="9" t="s">
        <v>47</v>
      </c>
      <c r="B211" s="9" t="s">
        <v>114</v>
      </c>
      <c r="C211" s="9" t="s">
        <v>194</v>
      </c>
      <c r="D211" s="9" t="s">
        <v>223</v>
      </c>
      <c r="E211" s="24">
        <v>1.6</v>
      </c>
      <c r="F211" s="24"/>
      <c r="G211" s="24"/>
      <c r="H211" s="24"/>
      <c r="I211" s="24"/>
      <c r="J211" s="24">
        <v>0.076</v>
      </c>
      <c r="K211" s="24">
        <f>E211*J211</f>
        <v>0.1216</v>
      </c>
      <c r="N211" s="5" t="s">
        <v>7</v>
      </c>
      <c r="O211" s="1">
        <f>IF(N211="5",H211,0)</f>
        <v>0</v>
      </c>
      <c r="Z211" s="1">
        <f>IF(AD211=0,I211,0)</f>
        <v>0</v>
      </c>
      <c r="AA211" s="1">
        <f>IF(AD211=15,I211,0)</f>
        <v>0</v>
      </c>
      <c r="AB211" s="1">
        <f>IF(AD211=21,I211,0)</f>
        <v>0</v>
      </c>
      <c r="AD211" s="1">
        <v>21</v>
      </c>
      <c r="AE211" s="1">
        <f>F211*0.0995255351739082</f>
        <v>0</v>
      </c>
      <c r="AF211" s="1">
        <f>F211*(1-0.0995255351739082)</f>
        <v>0</v>
      </c>
    </row>
    <row r="212" spans="1:37" ht="12.75">
      <c r="A212" s="25"/>
      <c r="B212" s="26" t="s">
        <v>115</v>
      </c>
      <c r="C212" s="79" t="s">
        <v>195</v>
      </c>
      <c r="D212" s="80"/>
      <c r="E212" s="80"/>
      <c r="F212" s="80"/>
      <c r="G212" s="27"/>
      <c r="H212" s="27"/>
      <c r="I212" s="27"/>
      <c r="J212" s="28"/>
      <c r="K212" s="27">
        <f>SUM(K213:K216)</f>
        <v>17.15408</v>
      </c>
      <c r="P212" s="6">
        <f>IF(Q212="PR",I212,SUM(O213:O216))</f>
        <v>0</v>
      </c>
      <c r="Q212" s="2" t="s">
        <v>249</v>
      </c>
      <c r="R212" s="6">
        <f>IF(Q212="HS",G212,0)</f>
        <v>0</v>
      </c>
      <c r="S212" s="6">
        <f>IF(Q212="HS",H212-P212,0)</f>
        <v>0</v>
      </c>
      <c r="T212" s="6">
        <f>IF(Q212="PS",G212,0)</f>
        <v>0</v>
      </c>
      <c r="U212" s="6">
        <f>IF(Q212="PS",H212-P212,0)</f>
        <v>0</v>
      </c>
      <c r="V212" s="6">
        <f>IF(Q212="MP",G212,0)</f>
        <v>0</v>
      </c>
      <c r="W212" s="6">
        <f>IF(Q212="MP",H212-P212,0)</f>
        <v>0</v>
      </c>
      <c r="X212" s="6">
        <f>IF(Q212="OM",G212,0)</f>
        <v>0</v>
      </c>
      <c r="Y212" s="2"/>
      <c r="AI212" s="6">
        <f>SUM(Z213:Z216)</f>
        <v>0</v>
      </c>
      <c r="AJ212" s="6">
        <f>SUM(AA213:AA216)</f>
        <v>0</v>
      </c>
      <c r="AK212" s="6">
        <f>SUM(AB213:AB216)</f>
        <v>0</v>
      </c>
    </row>
    <row r="213" spans="1:32" ht="12.75">
      <c r="A213" s="9" t="s">
        <v>48</v>
      </c>
      <c r="B213" s="9" t="s">
        <v>116</v>
      </c>
      <c r="C213" s="9" t="s">
        <v>196</v>
      </c>
      <c r="D213" s="9" t="s">
        <v>223</v>
      </c>
      <c r="E213" s="24">
        <v>55</v>
      </c>
      <c r="F213" s="24"/>
      <c r="G213" s="24"/>
      <c r="H213" s="24"/>
      <c r="I213" s="24"/>
      <c r="J213" s="24">
        <v>0.029</v>
      </c>
      <c r="K213" s="24">
        <f>E213*J213</f>
        <v>1.595</v>
      </c>
      <c r="N213" s="5" t="s">
        <v>7</v>
      </c>
      <c r="O213" s="1">
        <f>IF(N213="5",H213,0)</f>
        <v>0</v>
      </c>
      <c r="Z213" s="1">
        <f>IF(AD213=0,I213,0)</f>
        <v>0</v>
      </c>
      <c r="AA213" s="1">
        <f>IF(AD213=15,I213,0)</f>
        <v>0</v>
      </c>
      <c r="AB213" s="1">
        <f>IF(AD213=21,I213,0)</f>
        <v>0</v>
      </c>
      <c r="AD213" s="1">
        <v>21</v>
      </c>
      <c r="AE213" s="1">
        <f>F213*0</f>
        <v>0</v>
      </c>
      <c r="AF213" s="1">
        <f>F213*(1-0)</f>
        <v>0</v>
      </c>
    </row>
    <row r="214" spans="1:32" ht="12.75">
      <c r="A214" s="9"/>
      <c r="B214" s="9"/>
      <c r="C214" s="53" t="s">
        <v>310</v>
      </c>
      <c r="D214" s="9"/>
      <c r="E214" s="24"/>
      <c r="F214" s="24"/>
      <c r="G214" s="24"/>
      <c r="H214" s="24"/>
      <c r="I214" s="24"/>
      <c r="J214" s="24"/>
      <c r="K214" s="24"/>
      <c r="N214" s="5"/>
      <c r="O214" s="1"/>
      <c r="Z214" s="1"/>
      <c r="AA214" s="1"/>
      <c r="AB214" s="1"/>
      <c r="AD214" s="1"/>
      <c r="AE214" s="1"/>
      <c r="AF214" s="1"/>
    </row>
    <row r="215" spans="1:32" ht="12.75">
      <c r="A215" s="9"/>
      <c r="B215" s="9"/>
      <c r="C215" s="53" t="s">
        <v>61</v>
      </c>
      <c r="D215" s="9"/>
      <c r="E215" s="24"/>
      <c r="F215" s="24"/>
      <c r="G215" s="24"/>
      <c r="H215" s="24"/>
      <c r="I215" s="24"/>
      <c r="J215" s="24"/>
      <c r="K215" s="24"/>
      <c r="N215" s="5"/>
      <c r="O215" s="1"/>
      <c r="Z215" s="1"/>
      <c r="AA215" s="1"/>
      <c r="AB215" s="1"/>
      <c r="AD215" s="1"/>
      <c r="AE215" s="1"/>
      <c r="AF215" s="1"/>
    </row>
    <row r="216" spans="1:32" ht="12.75">
      <c r="A216" s="9" t="s">
        <v>49</v>
      </c>
      <c r="B216" s="9" t="s">
        <v>117</v>
      </c>
      <c r="C216" s="9" t="s">
        <v>197</v>
      </c>
      <c r="D216" s="9" t="s">
        <v>223</v>
      </c>
      <c r="E216" s="24">
        <v>228.81</v>
      </c>
      <c r="F216" s="24"/>
      <c r="G216" s="24"/>
      <c r="H216" s="24"/>
      <c r="I216" s="24"/>
      <c r="J216" s="24">
        <v>0.068</v>
      </c>
      <c r="K216" s="24">
        <f>E216*J216</f>
        <v>15.559080000000002</v>
      </c>
      <c r="N216" s="5" t="s">
        <v>7</v>
      </c>
      <c r="O216" s="1">
        <f>IF(N216="5",H216,0)</f>
        <v>0</v>
      </c>
      <c r="Z216" s="1">
        <f>IF(AD216=0,I216,0)</f>
        <v>0</v>
      </c>
      <c r="AA216" s="1">
        <f>IF(AD216=15,I216,0)</f>
        <v>0</v>
      </c>
      <c r="AB216" s="1">
        <f>IF(AD216=21,I216,0)</f>
        <v>0</v>
      </c>
      <c r="AD216" s="1">
        <v>21</v>
      </c>
      <c r="AE216" s="1">
        <f>F216*0</f>
        <v>0</v>
      </c>
      <c r="AF216" s="1">
        <f>F216*(1-0)</f>
        <v>0</v>
      </c>
    </row>
    <row r="217" spans="1:32" ht="12.75">
      <c r="A217" s="9"/>
      <c r="B217" s="9"/>
      <c r="C217" s="53" t="s">
        <v>294</v>
      </c>
      <c r="D217" s="9"/>
      <c r="E217" s="24"/>
      <c r="F217" s="24"/>
      <c r="G217" s="24"/>
      <c r="H217" s="24"/>
      <c r="I217" s="24"/>
      <c r="J217" s="24"/>
      <c r="K217" s="24"/>
      <c r="N217" s="5"/>
      <c r="O217" s="1"/>
      <c r="Z217" s="1"/>
      <c r="AA217" s="1"/>
      <c r="AB217" s="1"/>
      <c r="AD217" s="1"/>
      <c r="AE217" s="1"/>
      <c r="AF217" s="1"/>
    </row>
    <row r="218" spans="1:32" ht="12.75">
      <c r="A218" s="9"/>
      <c r="B218" s="9"/>
      <c r="C218" s="53" t="s">
        <v>302</v>
      </c>
      <c r="D218" s="9"/>
      <c r="E218" s="24"/>
      <c r="F218" s="24"/>
      <c r="G218" s="24"/>
      <c r="H218" s="24"/>
      <c r="I218" s="24"/>
      <c r="J218" s="24"/>
      <c r="K218" s="24"/>
      <c r="N218" s="5"/>
      <c r="O218" s="1"/>
      <c r="Z218" s="1"/>
      <c r="AA218" s="1"/>
      <c r="AB218" s="1"/>
      <c r="AD218" s="1"/>
      <c r="AE218" s="1"/>
      <c r="AF218" s="1"/>
    </row>
    <row r="219" spans="1:32" ht="12.75">
      <c r="A219" s="9"/>
      <c r="B219" s="9"/>
      <c r="C219" s="53" t="s">
        <v>286</v>
      </c>
      <c r="D219" s="9"/>
      <c r="E219" s="24"/>
      <c r="F219" s="24"/>
      <c r="G219" s="24"/>
      <c r="H219" s="24"/>
      <c r="I219" s="24"/>
      <c r="J219" s="24"/>
      <c r="K219" s="24"/>
      <c r="N219" s="5"/>
      <c r="O219" s="1"/>
      <c r="Z219" s="1"/>
      <c r="AA219" s="1"/>
      <c r="AB219" s="1"/>
      <c r="AD219" s="1"/>
      <c r="AE219" s="1"/>
      <c r="AF219" s="1"/>
    </row>
    <row r="220" spans="1:32" ht="12.75">
      <c r="A220" s="9"/>
      <c r="B220" s="9"/>
      <c r="C220" s="53" t="s">
        <v>384</v>
      </c>
      <c r="D220" s="9"/>
      <c r="E220" s="24"/>
      <c r="F220" s="24"/>
      <c r="G220" s="24"/>
      <c r="H220" s="24"/>
      <c r="I220" s="24"/>
      <c r="J220" s="24"/>
      <c r="K220" s="24"/>
      <c r="N220" s="5"/>
      <c r="O220" s="1"/>
      <c r="Z220" s="1"/>
      <c r="AA220" s="1"/>
      <c r="AB220" s="1"/>
      <c r="AD220" s="1"/>
      <c r="AE220" s="1"/>
      <c r="AF220" s="1"/>
    </row>
    <row r="221" spans="1:32" ht="12.75">
      <c r="A221" s="9"/>
      <c r="B221" s="9"/>
      <c r="C221" s="53" t="s">
        <v>385</v>
      </c>
      <c r="D221" s="9"/>
      <c r="E221" s="24"/>
      <c r="F221" s="24"/>
      <c r="G221" s="24"/>
      <c r="H221" s="24"/>
      <c r="I221" s="24"/>
      <c r="J221" s="24"/>
      <c r="K221" s="24"/>
      <c r="N221" s="5"/>
      <c r="O221" s="1"/>
      <c r="Z221" s="1"/>
      <c r="AA221" s="1"/>
      <c r="AB221" s="1"/>
      <c r="AD221" s="1"/>
      <c r="AE221" s="1"/>
      <c r="AF221" s="1"/>
    </row>
    <row r="222" spans="1:32" ht="12.75">
      <c r="A222" s="9"/>
      <c r="B222" s="9"/>
      <c r="C222" s="53" t="s">
        <v>386</v>
      </c>
      <c r="D222" s="9"/>
      <c r="E222" s="24"/>
      <c r="F222" s="24"/>
      <c r="G222" s="24"/>
      <c r="H222" s="24"/>
      <c r="I222" s="24"/>
      <c r="J222" s="24"/>
      <c r="K222" s="24"/>
      <c r="N222" s="5"/>
      <c r="O222" s="1"/>
      <c r="Z222" s="1"/>
      <c r="AA222" s="1"/>
      <c r="AB222" s="1"/>
      <c r="AD222" s="1"/>
      <c r="AE222" s="1"/>
      <c r="AF222" s="1"/>
    </row>
    <row r="223" spans="1:32" ht="12.75">
      <c r="A223" s="9"/>
      <c r="B223" s="9"/>
      <c r="C223" s="53" t="s">
        <v>283</v>
      </c>
      <c r="D223" s="9"/>
      <c r="E223" s="24"/>
      <c r="F223" s="24"/>
      <c r="G223" s="24"/>
      <c r="H223" s="24"/>
      <c r="I223" s="24"/>
      <c r="J223" s="24"/>
      <c r="K223" s="24"/>
      <c r="N223" s="5"/>
      <c r="O223" s="1"/>
      <c r="Z223" s="1"/>
      <c r="AA223" s="1"/>
      <c r="AB223" s="1"/>
      <c r="AD223" s="1"/>
      <c r="AE223" s="1"/>
      <c r="AF223" s="1"/>
    </row>
    <row r="224" spans="1:32" ht="12.75">
      <c r="A224" s="9"/>
      <c r="B224" s="9"/>
      <c r="C224" s="53" t="s">
        <v>387</v>
      </c>
      <c r="D224" s="9"/>
      <c r="E224" s="24"/>
      <c r="F224" s="24"/>
      <c r="G224" s="24"/>
      <c r="H224" s="24"/>
      <c r="I224" s="24"/>
      <c r="J224" s="24"/>
      <c r="K224" s="24"/>
      <c r="N224" s="5"/>
      <c r="O224" s="1"/>
      <c r="Z224" s="1"/>
      <c r="AA224" s="1"/>
      <c r="AB224" s="1"/>
      <c r="AD224" s="1"/>
      <c r="AE224" s="1"/>
      <c r="AF224" s="1"/>
    </row>
    <row r="225" spans="1:37" ht="12.75">
      <c r="A225" s="25"/>
      <c r="B225" s="26" t="s">
        <v>118</v>
      </c>
      <c r="C225" s="79" t="s">
        <v>198</v>
      </c>
      <c r="D225" s="80"/>
      <c r="E225" s="80"/>
      <c r="F225" s="80"/>
      <c r="G225" s="27"/>
      <c r="H225" s="27"/>
      <c r="I225" s="27"/>
      <c r="J225" s="28"/>
      <c r="K225" s="27">
        <f>SUM(K226:K226)</f>
        <v>0</v>
      </c>
      <c r="P225" s="6">
        <f>IF(Q225="PR",I225,SUM(O226:O226))</f>
        <v>0</v>
      </c>
      <c r="Q225" s="2" t="s">
        <v>251</v>
      </c>
      <c r="R225" s="6">
        <f>IF(Q225="HS",G225,0)</f>
        <v>0</v>
      </c>
      <c r="S225" s="6">
        <f>IF(Q225="HS",H225-P225,0)</f>
        <v>0</v>
      </c>
      <c r="T225" s="6">
        <f>IF(Q225="PS",G225,0)</f>
        <v>0</v>
      </c>
      <c r="U225" s="6">
        <f>IF(Q225="PS",H225-P225,0)</f>
        <v>0</v>
      </c>
      <c r="V225" s="6">
        <f>IF(Q225="MP",G225,0)</f>
        <v>0</v>
      </c>
      <c r="W225" s="6">
        <f>IF(Q225="MP",H225-P225,0)</f>
        <v>0</v>
      </c>
      <c r="X225" s="6">
        <f>IF(Q225="OM",G225,0)</f>
        <v>0</v>
      </c>
      <c r="Y225" s="2"/>
      <c r="AI225" s="6">
        <f>SUM(Z226:Z226)</f>
        <v>0</v>
      </c>
      <c r="AJ225" s="6">
        <f>SUM(AA226:AA226)</f>
        <v>0</v>
      </c>
      <c r="AK225" s="6">
        <f>SUM(AB226:AB226)</f>
        <v>0</v>
      </c>
    </row>
    <row r="226" spans="1:32" ht="12.75">
      <c r="A226" s="9" t="s">
        <v>50</v>
      </c>
      <c r="B226" s="9" t="s">
        <v>119</v>
      </c>
      <c r="C226" s="9" t="s">
        <v>199</v>
      </c>
      <c r="D226" s="9" t="s">
        <v>228</v>
      </c>
      <c r="E226" s="24">
        <v>43.19918</v>
      </c>
      <c r="F226" s="24"/>
      <c r="G226" s="24"/>
      <c r="H226" s="24"/>
      <c r="I226" s="24"/>
      <c r="J226" s="24">
        <v>0</v>
      </c>
      <c r="K226" s="24">
        <f>E226*J226</f>
        <v>0</v>
      </c>
      <c r="N226" s="5" t="s">
        <v>11</v>
      </c>
      <c r="O226" s="1">
        <f>IF(N226="5",H226,0)</f>
        <v>0</v>
      </c>
      <c r="Z226" s="1">
        <f>IF(AD226=0,I226,0)</f>
        <v>0</v>
      </c>
      <c r="AA226" s="1">
        <f>IF(AD226=15,I226,0)</f>
        <v>0</v>
      </c>
      <c r="AB226" s="1">
        <f>IF(AD226=21,I226,0)</f>
        <v>0</v>
      </c>
      <c r="AD226" s="1">
        <v>21</v>
      </c>
      <c r="AE226" s="1">
        <f>F226*0</f>
        <v>0</v>
      </c>
      <c r="AF226" s="1">
        <f>F226*(1-0)</f>
        <v>0</v>
      </c>
    </row>
    <row r="227" spans="1:37" ht="12.75">
      <c r="A227" s="25"/>
      <c r="B227" s="26" t="s">
        <v>120</v>
      </c>
      <c r="C227" s="79" t="s">
        <v>200</v>
      </c>
      <c r="D227" s="80"/>
      <c r="E227" s="80"/>
      <c r="F227" s="80"/>
      <c r="G227" s="27"/>
      <c r="H227" s="27"/>
      <c r="I227" s="27"/>
      <c r="J227" s="28"/>
      <c r="K227" s="27">
        <f>SUM(K228:K234)</f>
        <v>0</v>
      </c>
      <c r="P227" s="6">
        <f>IF(Q227="PR",I227,SUM(O228:O234))</f>
        <v>0</v>
      </c>
      <c r="Q227" s="2" t="s">
        <v>251</v>
      </c>
      <c r="R227" s="6">
        <f>IF(Q227="HS",G227,0)</f>
        <v>0</v>
      </c>
      <c r="S227" s="6">
        <f>IF(Q227="HS",H227-P227,0)</f>
        <v>0</v>
      </c>
      <c r="T227" s="6">
        <f>IF(Q227="PS",G227,0)</f>
        <v>0</v>
      </c>
      <c r="U227" s="6">
        <f>IF(Q227="PS",H227-P227,0)</f>
        <v>0</v>
      </c>
      <c r="V227" s="6">
        <f>IF(Q227="MP",G227,0)</f>
        <v>0</v>
      </c>
      <c r="W227" s="6">
        <f>IF(Q227="MP",H227-P227,0)</f>
        <v>0</v>
      </c>
      <c r="X227" s="6">
        <f>IF(Q227="OM",G227,0)</f>
        <v>0</v>
      </c>
      <c r="Y227" s="2"/>
      <c r="AI227" s="6">
        <f>SUM(Z228:Z234)</f>
        <v>0</v>
      </c>
      <c r="AJ227" s="6">
        <f>SUM(AA228:AA234)</f>
        <v>0</v>
      </c>
      <c r="AK227" s="6">
        <f>SUM(AB228:AB234)</f>
        <v>0</v>
      </c>
    </row>
    <row r="228" spans="1:32" ht="12.75">
      <c r="A228" s="9" t="s">
        <v>51</v>
      </c>
      <c r="B228" s="9" t="s">
        <v>121</v>
      </c>
      <c r="C228" s="9" t="s">
        <v>201</v>
      </c>
      <c r="D228" s="9" t="s">
        <v>228</v>
      </c>
      <c r="E228" s="24">
        <v>32.8167</v>
      </c>
      <c r="F228" s="24"/>
      <c r="G228" s="24"/>
      <c r="H228" s="24"/>
      <c r="I228" s="24"/>
      <c r="J228" s="24">
        <v>0</v>
      </c>
      <c r="K228" s="24">
        <f aca="true" t="shared" si="0" ref="K228:K234">E228*J228</f>
        <v>0</v>
      </c>
      <c r="N228" s="5" t="s">
        <v>11</v>
      </c>
      <c r="O228" s="1">
        <f aca="true" t="shared" si="1" ref="O228:O234">IF(N228="5",H228,0)</f>
        <v>0</v>
      </c>
      <c r="Z228" s="1">
        <f aca="true" t="shared" si="2" ref="Z228:Z234">IF(AD228=0,I228,0)</f>
        <v>0</v>
      </c>
      <c r="AA228" s="1">
        <f aca="true" t="shared" si="3" ref="AA228:AA234">IF(AD228=15,I228,0)</f>
        <v>0</v>
      </c>
      <c r="AB228" s="1">
        <f aca="true" t="shared" si="4" ref="AB228:AB234">IF(AD228=21,I228,0)</f>
        <v>0</v>
      </c>
      <c r="AD228" s="1">
        <v>21</v>
      </c>
      <c r="AE228" s="1">
        <f aca="true" t="shared" si="5" ref="AE228:AE233">F228*0</f>
        <v>0</v>
      </c>
      <c r="AF228" s="1">
        <f aca="true" t="shared" si="6" ref="AF228:AF233">F228*(1-0)</f>
        <v>0</v>
      </c>
    </row>
    <row r="229" spans="1:32" ht="12.75">
      <c r="A229" s="9" t="s">
        <v>52</v>
      </c>
      <c r="B229" s="9" t="s">
        <v>122</v>
      </c>
      <c r="C229" s="9" t="s">
        <v>202</v>
      </c>
      <c r="D229" s="9" t="s">
        <v>228</v>
      </c>
      <c r="E229" s="24">
        <v>32.81</v>
      </c>
      <c r="F229" s="24"/>
      <c r="G229" s="24"/>
      <c r="H229" s="24"/>
      <c r="I229" s="24"/>
      <c r="J229" s="24">
        <v>0</v>
      </c>
      <c r="K229" s="24">
        <f t="shared" si="0"/>
        <v>0</v>
      </c>
      <c r="N229" s="5" t="s">
        <v>11</v>
      </c>
      <c r="O229" s="1">
        <f t="shared" si="1"/>
        <v>0</v>
      </c>
      <c r="Z229" s="1">
        <f t="shared" si="2"/>
        <v>0</v>
      </c>
      <c r="AA229" s="1">
        <f t="shared" si="3"/>
        <v>0</v>
      </c>
      <c r="AB229" s="1">
        <f t="shared" si="4"/>
        <v>0</v>
      </c>
      <c r="AD229" s="1">
        <v>21</v>
      </c>
      <c r="AE229" s="1">
        <f t="shared" si="5"/>
        <v>0</v>
      </c>
      <c r="AF229" s="1">
        <f t="shared" si="6"/>
        <v>0</v>
      </c>
    </row>
    <row r="230" spans="1:32" ht="12.75">
      <c r="A230" s="9" t="s">
        <v>53</v>
      </c>
      <c r="B230" s="9" t="s">
        <v>123</v>
      </c>
      <c r="C230" s="9" t="s">
        <v>203</v>
      </c>
      <c r="D230" s="9" t="s">
        <v>228</v>
      </c>
      <c r="E230" s="24">
        <v>32.81</v>
      </c>
      <c r="F230" s="24"/>
      <c r="G230" s="24"/>
      <c r="H230" s="24"/>
      <c r="I230" s="24"/>
      <c r="J230" s="24">
        <v>0</v>
      </c>
      <c r="K230" s="24">
        <f t="shared" si="0"/>
        <v>0</v>
      </c>
      <c r="N230" s="5" t="s">
        <v>11</v>
      </c>
      <c r="O230" s="1">
        <f t="shared" si="1"/>
        <v>0</v>
      </c>
      <c r="Z230" s="1">
        <f t="shared" si="2"/>
        <v>0</v>
      </c>
      <c r="AA230" s="1">
        <f t="shared" si="3"/>
        <v>0</v>
      </c>
      <c r="AB230" s="1">
        <f t="shared" si="4"/>
        <v>0</v>
      </c>
      <c r="AD230" s="1">
        <v>21</v>
      </c>
      <c r="AE230" s="1">
        <f t="shared" si="5"/>
        <v>0</v>
      </c>
      <c r="AF230" s="1">
        <f t="shared" si="6"/>
        <v>0</v>
      </c>
    </row>
    <row r="231" spans="1:32" ht="12.75">
      <c r="A231" s="9" t="s">
        <v>54</v>
      </c>
      <c r="B231" s="9" t="s">
        <v>124</v>
      </c>
      <c r="C231" s="9" t="s">
        <v>204</v>
      </c>
      <c r="D231" s="9" t="s">
        <v>228</v>
      </c>
      <c r="E231" s="24">
        <v>32.81</v>
      </c>
      <c r="F231" s="24"/>
      <c r="G231" s="24"/>
      <c r="H231" s="24"/>
      <c r="I231" s="24"/>
      <c r="J231" s="24">
        <v>0</v>
      </c>
      <c r="K231" s="24">
        <f t="shared" si="0"/>
        <v>0</v>
      </c>
      <c r="N231" s="5" t="s">
        <v>11</v>
      </c>
      <c r="O231" s="1">
        <f t="shared" si="1"/>
        <v>0</v>
      </c>
      <c r="Z231" s="1">
        <f t="shared" si="2"/>
        <v>0</v>
      </c>
      <c r="AA231" s="1">
        <f t="shared" si="3"/>
        <v>0</v>
      </c>
      <c r="AB231" s="1">
        <f t="shared" si="4"/>
        <v>0</v>
      </c>
      <c r="AD231" s="1">
        <v>21</v>
      </c>
      <c r="AE231" s="1">
        <f t="shared" si="5"/>
        <v>0</v>
      </c>
      <c r="AF231" s="1">
        <f t="shared" si="6"/>
        <v>0</v>
      </c>
    </row>
    <row r="232" spans="1:32" ht="12.75">
      <c r="A232" s="9" t="s">
        <v>55</v>
      </c>
      <c r="B232" s="9" t="s">
        <v>125</v>
      </c>
      <c r="C232" s="9" t="s">
        <v>205</v>
      </c>
      <c r="D232" s="9" t="s">
        <v>228</v>
      </c>
      <c r="E232" s="24">
        <v>328.1</v>
      </c>
      <c r="F232" s="24"/>
      <c r="G232" s="24"/>
      <c r="H232" s="24"/>
      <c r="I232" s="24"/>
      <c r="J232" s="24">
        <v>0</v>
      </c>
      <c r="K232" s="24">
        <f t="shared" si="0"/>
        <v>0</v>
      </c>
      <c r="N232" s="5" t="s">
        <v>11</v>
      </c>
      <c r="O232" s="1">
        <f t="shared" si="1"/>
        <v>0</v>
      </c>
      <c r="Z232" s="1">
        <f t="shared" si="2"/>
        <v>0</v>
      </c>
      <c r="AA232" s="1">
        <f t="shared" si="3"/>
        <v>0</v>
      </c>
      <c r="AB232" s="1">
        <f t="shared" si="4"/>
        <v>0</v>
      </c>
      <c r="AD232" s="1">
        <v>21</v>
      </c>
      <c r="AE232" s="1">
        <f t="shared" si="5"/>
        <v>0</v>
      </c>
      <c r="AF232" s="1">
        <f t="shared" si="6"/>
        <v>0</v>
      </c>
    </row>
    <row r="233" spans="1:32" ht="12.75">
      <c r="A233" s="9" t="s">
        <v>56</v>
      </c>
      <c r="B233" s="9" t="s">
        <v>126</v>
      </c>
      <c r="C233" s="9" t="s">
        <v>206</v>
      </c>
      <c r="D233" s="9" t="s">
        <v>228</v>
      </c>
      <c r="E233" s="24">
        <v>32.81</v>
      </c>
      <c r="F233" s="24"/>
      <c r="G233" s="24"/>
      <c r="H233" s="24"/>
      <c r="I233" s="24"/>
      <c r="J233" s="24">
        <v>0</v>
      </c>
      <c r="K233" s="24">
        <f t="shared" si="0"/>
        <v>0</v>
      </c>
      <c r="N233" s="5" t="s">
        <v>11</v>
      </c>
      <c r="O233" s="1">
        <f t="shared" si="1"/>
        <v>0</v>
      </c>
      <c r="Z233" s="1">
        <f t="shared" si="2"/>
        <v>0</v>
      </c>
      <c r="AA233" s="1">
        <f t="shared" si="3"/>
        <v>0</v>
      </c>
      <c r="AB233" s="1">
        <f t="shared" si="4"/>
        <v>0</v>
      </c>
      <c r="AD233" s="1">
        <v>21</v>
      </c>
      <c r="AE233" s="1">
        <f t="shared" si="5"/>
        <v>0</v>
      </c>
      <c r="AF233" s="1">
        <f t="shared" si="6"/>
        <v>0</v>
      </c>
    </row>
    <row r="234" spans="1:32" ht="12.75">
      <c r="A234" s="9" t="s">
        <v>57</v>
      </c>
      <c r="B234" s="9" t="s">
        <v>127</v>
      </c>
      <c r="C234" s="9" t="s">
        <v>207</v>
      </c>
      <c r="D234" s="9" t="s">
        <v>228</v>
      </c>
      <c r="E234" s="24">
        <v>32.81</v>
      </c>
      <c r="F234" s="24"/>
      <c r="G234" s="24"/>
      <c r="H234" s="24"/>
      <c r="I234" s="24"/>
      <c r="J234" s="24">
        <v>0</v>
      </c>
      <c r="K234" s="24">
        <f t="shared" si="0"/>
        <v>0</v>
      </c>
      <c r="N234" s="5" t="s">
        <v>11</v>
      </c>
      <c r="O234" s="1">
        <f t="shared" si="1"/>
        <v>0</v>
      </c>
      <c r="Z234" s="1">
        <f t="shared" si="2"/>
        <v>0</v>
      </c>
      <c r="AA234" s="1">
        <f t="shared" si="3"/>
        <v>0</v>
      </c>
      <c r="AB234" s="1">
        <f t="shared" si="4"/>
        <v>0</v>
      </c>
      <c r="AD234" s="1">
        <v>21</v>
      </c>
      <c r="AE234" s="1">
        <f>F234*1</f>
        <v>0</v>
      </c>
      <c r="AF234" s="1">
        <f>F234*(1-1)</f>
        <v>0</v>
      </c>
    </row>
    <row r="235" spans="1:37" ht="12.75">
      <c r="A235" s="25"/>
      <c r="B235" s="26"/>
      <c r="C235" s="79" t="s">
        <v>208</v>
      </c>
      <c r="D235" s="80"/>
      <c r="E235" s="80"/>
      <c r="F235" s="80"/>
      <c r="G235" s="27"/>
      <c r="H235" s="27"/>
      <c r="I235" s="27"/>
      <c r="J235" s="28"/>
      <c r="K235" s="27">
        <f>SUM(K236:K251)</f>
        <v>0.9392338</v>
      </c>
      <c r="P235" s="6">
        <f>IF(Q235="PR",I235,SUM(O236:O251))</f>
        <v>0</v>
      </c>
      <c r="Q235" s="2" t="s">
        <v>252</v>
      </c>
      <c r="R235" s="6">
        <f>IF(Q235="HS",G235,0)</f>
        <v>0</v>
      </c>
      <c r="S235" s="6">
        <f>IF(Q235="HS",H235-P235,0)</f>
        <v>0</v>
      </c>
      <c r="T235" s="6">
        <f>IF(Q235="PS",G235,0)</f>
        <v>0</v>
      </c>
      <c r="U235" s="6">
        <f>IF(Q235="PS",H235-P235,0)</f>
        <v>0</v>
      </c>
      <c r="V235" s="6">
        <f>IF(Q235="MP",G235,0)</f>
        <v>0</v>
      </c>
      <c r="W235" s="6">
        <f>IF(Q235="MP",H235-P235,0)</f>
        <v>0</v>
      </c>
      <c r="X235" s="6">
        <f>IF(Q235="OM",G235,0)</f>
        <v>0</v>
      </c>
      <c r="Y235" s="2"/>
      <c r="AI235" s="6">
        <f>SUM(Z236:Z251)</f>
        <v>0</v>
      </c>
      <c r="AJ235" s="6">
        <f>SUM(AA236:AA251)</f>
        <v>0</v>
      </c>
      <c r="AK235" s="6">
        <f>SUM(AB236:AB251)</f>
        <v>0</v>
      </c>
    </row>
    <row r="236" spans="1:32" ht="12.75">
      <c r="A236" s="9" t="s">
        <v>58</v>
      </c>
      <c r="B236" s="9" t="s">
        <v>128</v>
      </c>
      <c r="C236" s="9" t="s">
        <v>209</v>
      </c>
      <c r="D236" s="9" t="s">
        <v>229</v>
      </c>
      <c r="E236" s="24">
        <v>1</v>
      </c>
      <c r="F236" s="24"/>
      <c r="G236" s="24"/>
      <c r="H236" s="24"/>
      <c r="I236" s="24"/>
      <c r="J236" s="24">
        <v>0</v>
      </c>
      <c r="K236" s="24">
        <f aca="true" t="shared" si="7" ref="K236:K251">E236*J236</f>
        <v>0</v>
      </c>
      <c r="N236" s="5" t="s">
        <v>246</v>
      </c>
      <c r="O236" s="1">
        <f aca="true" t="shared" si="8" ref="O236:O251">IF(N236="5",H236,0)</f>
        <v>0</v>
      </c>
      <c r="Z236" s="1">
        <f aca="true" t="shared" si="9" ref="Z236:Z251">IF(AD236=0,I236,0)</f>
        <v>0</v>
      </c>
      <c r="AA236" s="1">
        <f aca="true" t="shared" si="10" ref="AA236:AA251">IF(AD236=15,I236,0)</f>
        <v>0</v>
      </c>
      <c r="AB236" s="1">
        <f aca="true" t="shared" si="11" ref="AB236:AB251">IF(AD236=21,I236,0)</f>
        <v>0</v>
      </c>
      <c r="AD236" s="1">
        <v>21</v>
      </c>
      <c r="AE236" s="1">
        <f aca="true" t="shared" si="12" ref="AE236:AE251">F236*1</f>
        <v>0</v>
      </c>
      <c r="AF236" s="1">
        <f aca="true" t="shared" si="13" ref="AF236:AF251">F236*(1-1)</f>
        <v>0</v>
      </c>
    </row>
    <row r="237" spans="1:32" ht="12.75">
      <c r="A237" s="9" t="s">
        <v>59</v>
      </c>
      <c r="B237" s="9" t="s">
        <v>128</v>
      </c>
      <c r="C237" s="9" t="s">
        <v>210</v>
      </c>
      <c r="D237" s="9" t="s">
        <v>229</v>
      </c>
      <c r="E237" s="24">
        <v>1</v>
      </c>
      <c r="F237" s="24"/>
      <c r="G237" s="24"/>
      <c r="H237" s="24"/>
      <c r="I237" s="24"/>
      <c r="J237" s="24">
        <v>0</v>
      </c>
      <c r="K237" s="24">
        <f t="shared" si="7"/>
        <v>0</v>
      </c>
      <c r="N237" s="5" t="s">
        <v>246</v>
      </c>
      <c r="O237" s="1">
        <f t="shared" si="8"/>
        <v>0</v>
      </c>
      <c r="Z237" s="1">
        <f t="shared" si="9"/>
        <v>0</v>
      </c>
      <c r="AA237" s="1">
        <f t="shared" si="10"/>
        <v>0</v>
      </c>
      <c r="AB237" s="1">
        <f t="shared" si="11"/>
        <v>0</v>
      </c>
      <c r="AD237" s="1">
        <v>21</v>
      </c>
      <c r="AE237" s="1">
        <f t="shared" si="12"/>
        <v>0</v>
      </c>
      <c r="AF237" s="1">
        <f t="shared" si="13"/>
        <v>0</v>
      </c>
    </row>
    <row r="238" spans="1:32" ht="12.75">
      <c r="A238" s="9" t="s">
        <v>60</v>
      </c>
      <c r="B238" s="9" t="s">
        <v>128</v>
      </c>
      <c r="C238" s="9" t="s">
        <v>211</v>
      </c>
      <c r="D238" s="9" t="s">
        <v>229</v>
      </c>
      <c r="E238" s="24">
        <v>1</v>
      </c>
      <c r="F238" s="24"/>
      <c r="G238" s="24"/>
      <c r="H238" s="24"/>
      <c r="I238" s="24"/>
      <c r="J238" s="24">
        <v>0</v>
      </c>
      <c r="K238" s="24">
        <f t="shared" si="7"/>
        <v>0</v>
      </c>
      <c r="N238" s="5" t="s">
        <v>246</v>
      </c>
      <c r="O238" s="1">
        <f t="shared" si="8"/>
        <v>0</v>
      </c>
      <c r="Z238" s="1">
        <f t="shared" si="9"/>
        <v>0</v>
      </c>
      <c r="AA238" s="1">
        <f t="shared" si="10"/>
        <v>0</v>
      </c>
      <c r="AB238" s="1">
        <f t="shared" si="11"/>
        <v>0</v>
      </c>
      <c r="AD238" s="1">
        <v>21</v>
      </c>
      <c r="AE238" s="1">
        <f t="shared" si="12"/>
        <v>0</v>
      </c>
      <c r="AF238" s="1">
        <f t="shared" si="13"/>
        <v>0</v>
      </c>
    </row>
    <row r="239" spans="1:32" ht="12.75">
      <c r="A239" s="9" t="s">
        <v>61</v>
      </c>
      <c r="B239" s="9" t="s">
        <v>128</v>
      </c>
      <c r="C239" s="9" t="s">
        <v>212</v>
      </c>
      <c r="D239" s="9" t="s">
        <v>230</v>
      </c>
      <c r="E239" s="24">
        <v>20</v>
      </c>
      <c r="F239" s="24"/>
      <c r="G239" s="24"/>
      <c r="H239" s="24"/>
      <c r="I239" s="24"/>
      <c r="J239" s="24">
        <v>0</v>
      </c>
      <c r="K239" s="24">
        <f t="shared" si="7"/>
        <v>0</v>
      </c>
      <c r="N239" s="5" t="s">
        <v>246</v>
      </c>
      <c r="O239" s="1">
        <f t="shared" si="8"/>
        <v>0</v>
      </c>
      <c r="Z239" s="1">
        <f t="shared" si="9"/>
        <v>0</v>
      </c>
      <c r="AA239" s="1">
        <f t="shared" si="10"/>
        <v>0</v>
      </c>
      <c r="AB239" s="1">
        <f t="shared" si="11"/>
        <v>0</v>
      </c>
      <c r="AD239" s="1">
        <v>21</v>
      </c>
      <c r="AE239" s="1">
        <f t="shared" si="12"/>
        <v>0</v>
      </c>
      <c r="AF239" s="1">
        <f t="shared" si="13"/>
        <v>0</v>
      </c>
    </row>
    <row r="240" spans="1:32" ht="12.75">
      <c r="A240" s="9" t="s">
        <v>62</v>
      </c>
      <c r="B240" s="9" t="s">
        <v>129</v>
      </c>
      <c r="C240" s="9" t="s">
        <v>213</v>
      </c>
      <c r="D240" s="9" t="s">
        <v>230</v>
      </c>
      <c r="E240" s="24">
        <v>2</v>
      </c>
      <c r="F240" s="24"/>
      <c r="G240" s="24"/>
      <c r="H240" s="24"/>
      <c r="I240" s="24"/>
      <c r="J240" s="24">
        <v>0</v>
      </c>
      <c r="K240" s="24">
        <f t="shared" si="7"/>
        <v>0</v>
      </c>
      <c r="N240" s="5" t="s">
        <v>246</v>
      </c>
      <c r="O240" s="1">
        <f t="shared" si="8"/>
        <v>0</v>
      </c>
      <c r="Z240" s="1">
        <f t="shared" si="9"/>
        <v>0</v>
      </c>
      <c r="AA240" s="1">
        <f t="shared" si="10"/>
        <v>0</v>
      </c>
      <c r="AB240" s="1">
        <f t="shared" si="11"/>
        <v>0</v>
      </c>
      <c r="AD240" s="1">
        <v>21</v>
      </c>
      <c r="AE240" s="1">
        <f t="shared" si="12"/>
        <v>0</v>
      </c>
      <c r="AF240" s="1">
        <f t="shared" si="13"/>
        <v>0</v>
      </c>
    </row>
    <row r="241" spans="1:32" ht="12.75">
      <c r="A241" s="9" t="s">
        <v>63</v>
      </c>
      <c r="B241" s="9" t="s">
        <v>129</v>
      </c>
      <c r="C241" s="9" t="s">
        <v>214</v>
      </c>
      <c r="D241" s="9" t="s">
        <v>230</v>
      </c>
      <c r="E241" s="24">
        <v>3</v>
      </c>
      <c r="F241" s="24"/>
      <c r="G241" s="24"/>
      <c r="H241" s="24"/>
      <c r="I241" s="24"/>
      <c r="J241" s="24">
        <v>0</v>
      </c>
      <c r="K241" s="24">
        <f t="shared" si="7"/>
        <v>0</v>
      </c>
      <c r="N241" s="5" t="s">
        <v>246</v>
      </c>
      <c r="O241" s="1">
        <f t="shared" si="8"/>
        <v>0</v>
      </c>
      <c r="Z241" s="1">
        <f t="shared" si="9"/>
        <v>0</v>
      </c>
      <c r="AA241" s="1">
        <f t="shared" si="10"/>
        <v>0</v>
      </c>
      <c r="AB241" s="1">
        <f t="shared" si="11"/>
        <v>0</v>
      </c>
      <c r="AD241" s="1">
        <v>21</v>
      </c>
      <c r="AE241" s="1">
        <f t="shared" si="12"/>
        <v>0</v>
      </c>
      <c r="AF241" s="1">
        <f t="shared" si="13"/>
        <v>0</v>
      </c>
    </row>
    <row r="242" spans="1:32" ht="12.75">
      <c r="A242" s="9" t="s">
        <v>64</v>
      </c>
      <c r="B242" s="9" t="s">
        <v>130</v>
      </c>
      <c r="C242" s="9" t="s">
        <v>215</v>
      </c>
      <c r="D242" s="9" t="s">
        <v>223</v>
      </c>
      <c r="E242" s="24">
        <v>135.38</v>
      </c>
      <c r="F242" s="24"/>
      <c r="G242" s="24"/>
      <c r="H242" s="24"/>
      <c r="I242" s="24"/>
      <c r="J242" s="24">
        <v>0.00401</v>
      </c>
      <c r="K242" s="24">
        <f t="shared" si="7"/>
        <v>0.5428738</v>
      </c>
      <c r="N242" s="5" t="s">
        <v>246</v>
      </c>
      <c r="O242" s="1">
        <f t="shared" si="8"/>
        <v>0</v>
      </c>
      <c r="Z242" s="1">
        <f t="shared" si="9"/>
        <v>0</v>
      </c>
      <c r="AA242" s="1">
        <f t="shared" si="10"/>
        <v>0</v>
      </c>
      <c r="AB242" s="1">
        <f t="shared" si="11"/>
        <v>0</v>
      </c>
      <c r="AD242" s="1">
        <v>21</v>
      </c>
      <c r="AE242" s="1">
        <f t="shared" si="12"/>
        <v>0</v>
      </c>
      <c r="AF242" s="1">
        <f t="shared" si="13"/>
        <v>0</v>
      </c>
    </row>
    <row r="243" spans="1:32" ht="12.75">
      <c r="A243" s="9"/>
      <c r="B243" s="9"/>
      <c r="C243" s="53" t="s">
        <v>391</v>
      </c>
      <c r="D243" s="9"/>
      <c r="E243" s="24"/>
      <c r="F243" s="24"/>
      <c r="G243" s="24"/>
      <c r="H243" s="24"/>
      <c r="I243" s="24"/>
      <c r="J243" s="24"/>
      <c r="K243" s="24"/>
      <c r="N243" s="5"/>
      <c r="O243" s="1"/>
      <c r="Z243" s="1"/>
      <c r="AA243" s="1"/>
      <c r="AB243" s="1"/>
      <c r="AD243" s="1"/>
      <c r="AE243" s="1"/>
      <c r="AF243" s="1"/>
    </row>
    <row r="244" spans="1:32" ht="12.75">
      <c r="A244" s="9"/>
      <c r="B244" s="9"/>
      <c r="C244" s="53" t="s">
        <v>392</v>
      </c>
      <c r="D244" s="9"/>
      <c r="E244" s="24"/>
      <c r="F244" s="24"/>
      <c r="G244" s="24"/>
      <c r="H244" s="24"/>
      <c r="I244" s="24"/>
      <c r="J244" s="24"/>
      <c r="K244" s="24"/>
      <c r="N244" s="5"/>
      <c r="O244" s="1"/>
      <c r="Z244" s="1"/>
      <c r="AA244" s="1"/>
      <c r="AB244" s="1"/>
      <c r="AD244" s="1"/>
      <c r="AE244" s="1"/>
      <c r="AF244" s="1"/>
    </row>
    <row r="245" spans="1:32" ht="12.75">
      <c r="A245" s="9"/>
      <c r="B245" s="9"/>
      <c r="C245" s="53" t="s">
        <v>393</v>
      </c>
      <c r="D245" s="9"/>
      <c r="E245" s="24"/>
      <c r="F245" s="24"/>
      <c r="G245" s="24"/>
      <c r="H245" s="24"/>
      <c r="I245" s="24"/>
      <c r="J245" s="24"/>
      <c r="K245" s="24"/>
      <c r="N245" s="5"/>
      <c r="O245" s="1"/>
      <c r="Z245" s="1"/>
      <c r="AA245" s="1"/>
      <c r="AB245" s="1"/>
      <c r="AD245" s="1"/>
      <c r="AE245" s="1"/>
      <c r="AF245" s="1"/>
    </row>
    <row r="246" spans="1:32" ht="22.5">
      <c r="A246" s="9" t="s">
        <v>65</v>
      </c>
      <c r="B246" s="9" t="s">
        <v>131</v>
      </c>
      <c r="C246" s="34" t="s">
        <v>216</v>
      </c>
      <c r="D246" s="9" t="s">
        <v>223</v>
      </c>
      <c r="E246" s="24">
        <v>220.2</v>
      </c>
      <c r="F246" s="24"/>
      <c r="G246" s="24"/>
      <c r="H246" s="24"/>
      <c r="I246" s="24"/>
      <c r="J246" s="24">
        <v>0.0018</v>
      </c>
      <c r="K246" s="24">
        <f t="shared" si="7"/>
        <v>0.39636</v>
      </c>
      <c r="N246" s="5" t="s">
        <v>246</v>
      </c>
      <c r="O246" s="1">
        <f t="shared" si="8"/>
        <v>0</v>
      </c>
      <c r="Z246" s="1">
        <f t="shared" si="9"/>
        <v>0</v>
      </c>
      <c r="AA246" s="1">
        <f t="shared" si="10"/>
        <v>0</v>
      </c>
      <c r="AB246" s="1">
        <f t="shared" si="11"/>
        <v>0</v>
      </c>
      <c r="AD246" s="1">
        <v>21</v>
      </c>
      <c r="AE246" s="1">
        <f t="shared" si="12"/>
        <v>0</v>
      </c>
      <c r="AF246" s="1">
        <f t="shared" si="13"/>
        <v>0</v>
      </c>
    </row>
    <row r="247" spans="1:32" ht="12.75">
      <c r="A247" s="9"/>
      <c r="B247" s="9"/>
      <c r="C247" s="53" t="s">
        <v>394</v>
      </c>
      <c r="D247" s="9"/>
      <c r="E247" s="24"/>
      <c r="F247" s="24"/>
      <c r="G247" s="24"/>
      <c r="H247" s="24"/>
      <c r="I247" s="24"/>
      <c r="J247" s="24"/>
      <c r="K247" s="24"/>
      <c r="N247" s="5"/>
      <c r="O247" s="1"/>
      <c r="Z247" s="1"/>
      <c r="AA247" s="1"/>
      <c r="AB247" s="1"/>
      <c r="AD247" s="1"/>
      <c r="AE247" s="1"/>
      <c r="AF247" s="1"/>
    </row>
    <row r="248" spans="1:32" ht="12.75">
      <c r="A248" s="9"/>
      <c r="B248" s="9"/>
      <c r="C248" s="53" t="s">
        <v>395</v>
      </c>
      <c r="D248" s="9"/>
      <c r="E248" s="24"/>
      <c r="F248" s="24"/>
      <c r="G248" s="24"/>
      <c r="H248" s="24"/>
      <c r="I248" s="24"/>
      <c r="J248" s="24"/>
      <c r="K248" s="24"/>
      <c r="N248" s="5"/>
      <c r="O248" s="1"/>
      <c r="Z248" s="1"/>
      <c r="AA248" s="1"/>
      <c r="AB248" s="1"/>
      <c r="AD248" s="1"/>
      <c r="AE248" s="1"/>
      <c r="AF248" s="1"/>
    </row>
    <row r="249" spans="1:32" ht="12.75">
      <c r="A249" s="9"/>
      <c r="B249" s="9"/>
      <c r="C249" s="53" t="s">
        <v>396</v>
      </c>
      <c r="D249" s="9"/>
      <c r="E249" s="24"/>
      <c r="F249" s="24"/>
      <c r="G249" s="24"/>
      <c r="H249" s="24"/>
      <c r="I249" s="24"/>
      <c r="J249" s="24"/>
      <c r="K249" s="24"/>
      <c r="N249" s="5"/>
      <c r="O249" s="1"/>
      <c r="Z249" s="1"/>
      <c r="AA249" s="1"/>
      <c r="AB249" s="1"/>
      <c r="AD249" s="1"/>
      <c r="AE249" s="1"/>
      <c r="AF249" s="1"/>
    </row>
    <row r="250" spans="1:32" ht="12.75">
      <c r="A250" s="9"/>
      <c r="B250" s="9"/>
      <c r="C250" s="53" t="s">
        <v>397</v>
      </c>
      <c r="D250" s="9"/>
      <c r="E250" s="24"/>
      <c r="F250" s="24"/>
      <c r="G250" s="24"/>
      <c r="H250" s="24"/>
      <c r="I250" s="24"/>
      <c r="J250" s="24"/>
      <c r="K250" s="24"/>
      <c r="N250" s="5"/>
      <c r="O250" s="1"/>
      <c r="Z250" s="1"/>
      <c r="AA250" s="1"/>
      <c r="AB250" s="1"/>
      <c r="AD250" s="1"/>
      <c r="AE250" s="1"/>
      <c r="AF250" s="1"/>
    </row>
    <row r="251" spans="1:32" ht="12.75">
      <c r="A251" s="29" t="s">
        <v>66</v>
      </c>
      <c r="B251" s="29" t="s">
        <v>132</v>
      </c>
      <c r="C251" s="29" t="s">
        <v>217</v>
      </c>
      <c r="D251" s="29" t="s">
        <v>230</v>
      </c>
      <c r="E251" s="30">
        <v>8</v>
      </c>
      <c r="F251" s="30"/>
      <c r="G251" s="30"/>
      <c r="H251" s="30"/>
      <c r="I251" s="30"/>
      <c r="J251" s="30">
        <v>0</v>
      </c>
      <c r="K251" s="30">
        <f t="shared" si="7"/>
        <v>0</v>
      </c>
      <c r="N251" s="5" t="s">
        <v>246</v>
      </c>
      <c r="O251" s="1">
        <f t="shared" si="8"/>
        <v>0</v>
      </c>
      <c r="Z251" s="1">
        <f t="shared" si="9"/>
        <v>0</v>
      </c>
      <c r="AA251" s="1">
        <f t="shared" si="10"/>
        <v>0</v>
      </c>
      <c r="AB251" s="1">
        <f t="shared" si="11"/>
        <v>0</v>
      </c>
      <c r="AD251" s="1">
        <v>21</v>
      </c>
      <c r="AE251" s="1">
        <f t="shared" si="12"/>
        <v>0</v>
      </c>
      <c r="AF251" s="1">
        <f t="shared" si="13"/>
        <v>0</v>
      </c>
    </row>
    <row r="252" spans="1:28" ht="12.75">
      <c r="A252" s="31"/>
      <c r="B252" s="31"/>
      <c r="C252" s="31"/>
      <c r="D252" s="31"/>
      <c r="E252" s="31"/>
      <c r="F252" s="31"/>
      <c r="G252" s="64" t="s">
        <v>236</v>
      </c>
      <c r="H252" s="81"/>
      <c r="I252" s="32">
        <f>I12+I18+I25+I27+I29+I33+I39+I43+I47+I138+I144+I161+I169+I175+I179+I184+I188+I212+I225+I227+I235</f>
        <v>0</v>
      </c>
      <c r="J252" s="31"/>
      <c r="K252" s="31"/>
      <c r="Z252" s="7">
        <f>SUM(Z13:Z251)</f>
        <v>0</v>
      </c>
      <c r="AA252" s="7">
        <f>SUM(AA13:AA251)</f>
        <v>0</v>
      </c>
      <c r="AB252" s="7">
        <f>SUM(AB13:AB251)</f>
        <v>0</v>
      </c>
    </row>
    <row r="253" spans="3:9" ht="12.75">
      <c r="C253" s="9" t="s">
        <v>439</v>
      </c>
      <c r="I253" s="24">
        <f>2/100*I252</f>
        <v>0</v>
      </c>
    </row>
    <row r="254" spans="7:9" ht="12.75">
      <c r="G254" t="s">
        <v>440</v>
      </c>
      <c r="I254" s="54">
        <f>SUM(I252:I253)</f>
        <v>0</v>
      </c>
    </row>
    <row r="256" spans="1:11" ht="12.75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</row>
    <row r="257" spans="1:11" ht="12.75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</row>
  </sheetData>
  <sheetProtection/>
  <mergeCells count="49">
    <mergeCell ref="C188:F188"/>
    <mergeCell ref="C212:F212"/>
    <mergeCell ref="C225:F225"/>
    <mergeCell ref="C227:F227"/>
    <mergeCell ref="C235:F235"/>
    <mergeCell ref="G252:H252"/>
    <mergeCell ref="C144:F144"/>
    <mergeCell ref="C161:F161"/>
    <mergeCell ref="C169:F169"/>
    <mergeCell ref="C175:F175"/>
    <mergeCell ref="C179:F179"/>
    <mergeCell ref="C184:F184"/>
    <mergeCell ref="C29:F29"/>
    <mergeCell ref="C33:F33"/>
    <mergeCell ref="C39:F39"/>
    <mergeCell ref="C43:F43"/>
    <mergeCell ref="C47:F47"/>
    <mergeCell ref="C138:F138"/>
    <mergeCell ref="G10:I10"/>
    <mergeCell ref="J10:K10"/>
    <mergeCell ref="C12:F12"/>
    <mergeCell ref="C18:F18"/>
    <mergeCell ref="C25:F25"/>
    <mergeCell ref="C27:F27"/>
    <mergeCell ref="H2:H3"/>
    <mergeCell ref="H4:H5"/>
    <mergeCell ref="H6:H7"/>
    <mergeCell ref="H8:H9"/>
    <mergeCell ref="I2:K3"/>
    <mergeCell ref="I4:K5"/>
    <mergeCell ref="I6:K7"/>
    <mergeCell ref="I8:K9"/>
    <mergeCell ref="D4:E5"/>
    <mergeCell ref="D6:E7"/>
    <mergeCell ref="D8:E9"/>
    <mergeCell ref="F2:G3"/>
    <mergeCell ref="F4:G5"/>
    <mergeCell ref="F6:G7"/>
    <mergeCell ref="F8:G9"/>
    <mergeCell ref="A1:K1"/>
    <mergeCell ref="A2:B3"/>
    <mergeCell ref="A4:B5"/>
    <mergeCell ref="A6:B7"/>
    <mergeCell ref="A8:B9"/>
    <mergeCell ref="C2:C3"/>
    <mergeCell ref="C4:C5"/>
    <mergeCell ref="C6:C7"/>
    <mergeCell ref="C8:C9"/>
    <mergeCell ref="D2:E3"/>
  </mergeCells>
  <printOptions/>
  <pageMargins left="0.1968503937007874" right="0.5905511811023623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8"/>
  <sheetViews>
    <sheetView zoomScalePageLayoutView="0" workbookViewId="0" topLeftCell="A1">
      <selection activeCell="E8" sqref="E8:F9"/>
    </sheetView>
  </sheetViews>
  <sheetFormatPr defaultColWidth="11.421875" defaultRowHeight="12.75"/>
  <cols>
    <col min="1" max="1" width="11.00390625" style="0" bestFit="1" customWidth="1"/>
    <col min="2" max="2" width="12.00390625" style="0" bestFit="1" customWidth="1"/>
    <col min="3" max="3" width="67.28125" style="0" customWidth="1"/>
    <col min="4" max="4" width="9.8515625" style="0" customWidth="1"/>
    <col min="5" max="5" width="57.7109375" style="0" bestFit="1" customWidth="1"/>
    <col min="6" max="6" width="20.421875" style="0" customWidth="1"/>
    <col min="7" max="7" width="44.00390625" style="0" customWidth="1"/>
  </cols>
  <sheetData>
    <row r="1" spans="1:6" ht="21.75" customHeight="1">
      <c r="A1" s="55" t="s">
        <v>260</v>
      </c>
      <c r="B1" s="56"/>
      <c r="C1" s="56"/>
      <c r="D1" s="56"/>
      <c r="E1" s="56"/>
      <c r="F1" s="56"/>
    </row>
    <row r="2" spans="1:7" ht="12.75">
      <c r="A2" s="57" t="s">
        <v>1</v>
      </c>
      <c r="B2" s="64" t="s">
        <v>133</v>
      </c>
      <c r="C2" s="81"/>
      <c r="D2" s="69" t="s">
        <v>237</v>
      </c>
      <c r="E2" s="69" t="s">
        <v>242</v>
      </c>
      <c r="F2" s="71"/>
      <c r="G2" s="3"/>
    </row>
    <row r="3" spans="1:7" ht="12.75">
      <c r="A3" s="59"/>
      <c r="B3" s="65"/>
      <c r="C3" s="65"/>
      <c r="D3" s="60"/>
      <c r="E3" s="60"/>
      <c r="F3" s="72"/>
      <c r="G3" s="3"/>
    </row>
    <row r="4" spans="1:7" ht="12.75">
      <c r="A4" s="61" t="s">
        <v>2</v>
      </c>
      <c r="B4" s="66" t="s">
        <v>134</v>
      </c>
      <c r="C4" s="60"/>
      <c r="D4" s="66" t="s">
        <v>238</v>
      </c>
      <c r="E4" s="66" t="s">
        <v>243</v>
      </c>
      <c r="F4" s="72"/>
      <c r="G4" s="3"/>
    </row>
    <row r="5" spans="1:7" ht="12.75">
      <c r="A5" s="59"/>
      <c r="B5" s="60"/>
      <c r="C5" s="60"/>
      <c r="D5" s="60"/>
      <c r="E5" s="60"/>
      <c r="F5" s="72"/>
      <c r="G5" s="3"/>
    </row>
    <row r="6" spans="1:7" ht="12.75">
      <c r="A6" s="61" t="s">
        <v>3</v>
      </c>
      <c r="B6" s="66" t="s">
        <v>135</v>
      </c>
      <c r="C6" s="60"/>
      <c r="D6" s="66" t="s">
        <v>239</v>
      </c>
      <c r="E6" s="66"/>
      <c r="F6" s="72"/>
      <c r="G6" s="3"/>
    </row>
    <row r="7" spans="1:7" ht="12.75">
      <c r="A7" s="59"/>
      <c r="B7" s="60"/>
      <c r="C7" s="60"/>
      <c r="D7" s="60"/>
      <c r="E7" s="60"/>
      <c r="F7" s="72"/>
      <c r="G7" s="3"/>
    </row>
    <row r="8" spans="1:7" ht="12.75">
      <c r="A8" s="61" t="s">
        <v>240</v>
      </c>
      <c r="B8" s="66"/>
      <c r="C8" s="60"/>
      <c r="D8" s="66" t="s">
        <v>221</v>
      </c>
      <c r="E8" s="70"/>
      <c r="F8" s="72"/>
      <c r="G8" s="3"/>
    </row>
    <row r="9" spans="1:7" ht="12.75">
      <c r="A9" s="62"/>
      <c r="B9" s="63"/>
      <c r="C9" s="63"/>
      <c r="D9" s="63"/>
      <c r="E9" s="63"/>
      <c r="F9" s="73"/>
      <c r="G9" s="3"/>
    </row>
    <row r="10" spans="1:7" ht="12.75">
      <c r="A10" s="47" t="s">
        <v>6</v>
      </c>
      <c r="B10" s="48" t="s">
        <v>67</v>
      </c>
      <c r="C10" s="48" t="s">
        <v>136</v>
      </c>
      <c r="D10" s="48" t="s">
        <v>222</v>
      </c>
      <c r="E10" s="48" t="s">
        <v>261</v>
      </c>
      <c r="F10" s="49" t="s">
        <v>231</v>
      </c>
      <c r="G10" s="4"/>
    </row>
    <row r="11" spans="1:6" ht="12.75">
      <c r="A11" s="50" t="s">
        <v>7</v>
      </c>
      <c r="B11" s="50" t="s">
        <v>68</v>
      </c>
      <c r="C11" s="50" t="s">
        <v>138</v>
      </c>
      <c r="D11" s="50" t="s">
        <v>223</v>
      </c>
      <c r="E11" s="52" t="s">
        <v>262</v>
      </c>
      <c r="F11" s="51">
        <v>89.33</v>
      </c>
    </row>
    <row r="12" spans="1:6" ht="12.75">
      <c r="A12" s="9"/>
      <c r="B12" s="9"/>
      <c r="C12" s="9"/>
      <c r="D12" s="9"/>
      <c r="E12" s="53" t="s">
        <v>263</v>
      </c>
      <c r="F12" s="24"/>
    </row>
    <row r="13" spans="1:6" ht="12.75">
      <c r="A13" s="9"/>
      <c r="B13" s="9"/>
      <c r="C13" s="9"/>
      <c r="D13" s="9"/>
      <c r="E13" s="53" t="s">
        <v>264</v>
      </c>
      <c r="F13" s="24"/>
    </row>
    <row r="14" spans="1:6" ht="12.75">
      <c r="A14" s="9"/>
      <c r="B14" s="9"/>
      <c r="C14" s="9"/>
      <c r="D14" s="9"/>
      <c r="E14" s="53" t="s">
        <v>265</v>
      </c>
      <c r="F14" s="24"/>
    </row>
    <row r="15" spans="1:6" ht="12.75">
      <c r="A15" s="9" t="s">
        <v>8</v>
      </c>
      <c r="B15" s="9" t="s">
        <v>69</v>
      </c>
      <c r="C15" s="9" t="s">
        <v>140</v>
      </c>
      <c r="D15" s="9" t="s">
        <v>224</v>
      </c>
      <c r="E15" s="53" t="s">
        <v>262</v>
      </c>
      <c r="F15" s="24">
        <v>28.53</v>
      </c>
    </row>
    <row r="16" spans="1:6" ht="12.75">
      <c r="A16" s="9"/>
      <c r="B16" s="9"/>
      <c r="C16" s="9"/>
      <c r="D16" s="9"/>
      <c r="E16" s="53" t="s">
        <v>266</v>
      </c>
      <c r="F16" s="24"/>
    </row>
    <row r="17" spans="1:6" ht="12.75">
      <c r="A17" s="9"/>
      <c r="B17" s="9"/>
      <c r="C17" s="9"/>
      <c r="D17" s="9"/>
      <c r="E17" s="53" t="s">
        <v>264</v>
      </c>
      <c r="F17" s="24"/>
    </row>
    <row r="18" spans="1:6" ht="12.75">
      <c r="A18" s="9"/>
      <c r="B18" s="9"/>
      <c r="C18" s="9"/>
      <c r="D18" s="9"/>
      <c r="E18" s="53" t="s">
        <v>267</v>
      </c>
      <c r="F18" s="24"/>
    </row>
    <row r="19" spans="1:6" ht="12.75">
      <c r="A19" s="9" t="s">
        <v>9</v>
      </c>
      <c r="B19" s="9" t="s">
        <v>70</v>
      </c>
      <c r="C19" s="9" t="s">
        <v>141</v>
      </c>
      <c r="D19" s="9" t="s">
        <v>224</v>
      </c>
      <c r="E19" s="53"/>
      <c r="F19" s="24">
        <v>28.53</v>
      </c>
    </row>
    <row r="20" spans="1:6" ht="12.75">
      <c r="A20" s="9" t="s">
        <v>10</v>
      </c>
      <c r="B20" s="9" t="s">
        <v>71</v>
      </c>
      <c r="C20" s="9" t="s">
        <v>143</v>
      </c>
      <c r="D20" s="9" t="s">
        <v>224</v>
      </c>
      <c r="E20" s="53"/>
      <c r="F20" s="24">
        <v>28.53</v>
      </c>
    </row>
    <row r="21" spans="1:6" ht="12.75">
      <c r="A21" s="9" t="s">
        <v>11</v>
      </c>
      <c r="B21" s="9" t="s">
        <v>72</v>
      </c>
      <c r="C21" s="9" t="s">
        <v>145</v>
      </c>
      <c r="D21" s="9" t="s">
        <v>224</v>
      </c>
      <c r="E21" s="53"/>
      <c r="F21" s="24">
        <v>28.53</v>
      </c>
    </row>
    <row r="22" spans="1:6" ht="12.75">
      <c r="A22" s="9" t="s">
        <v>12</v>
      </c>
      <c r="B22" s="9" t="s">
        <v>73</v>
      </c>
      <c r="C22" s="9" t="s">
        <v>147</v>
      </c>
      <c r="D22" s="9" t="s">
        <v>224</v>
      </c>
      <c r="E22" s="53" t="s">
        <v>268</v>
      </c>
      <c r="F22" s="24">
        <v>0.72</v>
      </c>
    </row>
    <row r="23" spans="1:6" ht="12.75">
      <c r="A23" s="9"/>
      <c r="B23" s="9"/>
      <c r="C23" s="9"/>
      <c r="D23" s="9"/>
      <c r="E23" s="53" t="s">
        <v>269</v>
      </c>
      <c r="F23" s="24"/>
    </row>
    <row r="24" spans="1:6" ht="12.75">
      <c r="A24" s="9" t="s">
        <v>13</v>
      </c>
      <c r="B24" s="9" t="s">
        <v>74</v>
      </c>
      <c r="C24" s="9" t="s">
        <v>149</v>
      </c>
      <c r="D24" s="9" t="s">
        <v>224</v>
      </c>
      <c r="E24" s="53"/>
      <c r="F24" s="24">
        <v>14.27</v>
      </c>
    </row>
    <row r="25" spans="1:6" ht="12.75">
      <c r="A25" s="9"/>
      <c r="B25" s="9"/>
      <c r="C25" s="9"/>
      <c r="D25" s="9"/>
      <c r="E25" s="53" t="s">
        <v>262</v>
      </c>
      <c r="F25" s="24"/>
    </row>
    <row r="26" spans="1:6" ht="12.75">
      <c r="A26" s="9"/>
      <c r="B26" s="9"/>
      <c r="C26" s="9"/>
      <c r="D26" s="9"/>
      <c r="E26" s="53" t="s">
        <v>270</v>
      </c>
      <c r="F26" s="24"/>
    </row>
    <row r="27" spans="1:6" ht="12.75">
      <c r="A27" s="9"/>
      <c r="B27" s="9"/>
      <c r="C27" s="9"/>
      <c r="D27" s="9"/>
      <c r="E27" s="53" t="s">
        <v>264</v>
      </c>
      <c r="F27" s="24"/>
    </row>
    <row r="28" spans="1:6" ht="12.75">
      <c r="A28" s="9"/>
      <c r="B28" s="9"/>
      <c r="C28" s="9"/>
      <c r="D28" s="9"/>
      <c r="E28" s="53" t="s">
        <v>271</v>
      </c>
      <c r="F28" s="24"/>
    </row>
    <row r="29" spans="1:6" ht="12.75">
      <c r="A29" s="9" t="s">
        <v>14</v>
      </c>
      <c r="B29" s="9" t="s">
        <v>75</v>
      </c>
      <c r="C29" s="9" t="s">
        <v>151</v>
      </c>
      <c r="D29" s="9" t="s">
        <v>223</v>
      </c>
      <c r="E29" s="53" t="s">
        <v>272</v>
      </c>
      <c r="F29" s="24">
        <v>21.4</v>
      </c>
    </row>
    <row r="30" spans="1:6" ht="12.75">
      <c r="A30" s="9"/>
      <c r="B30" s="9"/>
      <c r="C30" s="9"/>
      <c r="D30" s="9"/>
      <c r="E30" s="53" t="s">
        <v>273</v>
      </c>
      <c r="F30" s="24"/>
    </row>
    <row r="31" spans="1:6" ht="12.75">
      <c r="A31" s="9" t="s">
        <v>15</v>
      </c>
      <c r="B31" s="9" t="s">
        <v>77</v>
      </c>
      <c r="C31" s="9" t="s">
        <v>153</v>
      </c>
      <c r="D31" s="9" t="s">
        <v>223</v>
      </c>
      <c r="E31" s="53" t="s">
        <v>274</v>
      </c>
      <c r="F31" s="24">
        <v>3</v>
      </c>
    </row>
    <row r="32" spans="1:6" ht="12.75">
      <c r="A32" s="9"/>
      <c r="B32" s="9"/>
      <c r="C32" s="9"/>
      <c r="D32" s="9"/>
      <c r="E32" s="53" t="s">
        <v>275</v>
      </c>
      <c r="F32" s="24"/>
    </row>
    <row r="33" spans="1:6" ht="12.75">
      <c r="A33" s="9" t="s">
        <v>16</v>
      </c>
      <c r="B33" s="9" t="s">
        <v>79</v>
      </c>
      <c r="C33" s="9" t="s">
        <v>155</v>
      </c>
      <c r="D33" s="9" t="s">
        <v>223</v>
      </c>
      <c r="E33" s="53" t="s">
        <v>276</v>
      </c>
      <c r="F33" s="24">
        <v>15</v>
      </c>
    </row>
    <row r="34" spans="1:6" ht="12.75">
      <c r="A34" s="9"/>
      <c r="B34" s="9"/>
      <c r="C34" s="9"/>
      <c r="D34" s="9"/>
      <c r="E34" s="53" t="s">
        <v>21</v>
      </c>
      <c r="F34" s="24"/>
    </row>
    <row r="35" spans="1:6" ht="12.75">
      <c r="A35" s="9" t="s">
        <v>17</v>
      </c>
      <c r="B35" s="9" t="s">
        <v>80</v>
      </c>
      <c r="C35" s="9" t="s">
        <v>156</v>
      </c>
      <c r="D35" s="9" t="s">
        <v>223</v>
      </c>
      <c r="E35" s="53" t="s">
        <v>277</v>
      </c>
      <c r="F35" s="24">
        <v>285.88</v>
      </c>
    </row>
    <row r="36" spans="1:6" ht="12.75">
      <c r="A36" s="9"/>
      <c r="B36" s="9"/>
      <c r="C36" s="9"/>
      <c r="D36" s="9"/>
      <c r="E36" s="53" t="s">
        <v>278</v>
      </c>
      <c r="F36" s="24"/>
    </row>
    <row r="37" spans="1:6" ht="12.75">
      <c r="A37" s="9"/>
      <c r="B37" s="9"/>
      <c r="C37" s="9"/>
      <c r="D37" s="9"/>
      <c r="E37" s="53" t="s">
        <v>279</v>
      </c>
      <c r="F37" s="24"/>
    </row>
    <row r="38" spans="1:6" ht="12.75">
      <c r="A38" s="9"/>
      <c r="B38" s="9"/>
      <c r="C38" s="9"/>
      <c r="D38" s="9"/>
      <c r="E38" s="53" t="s">
        <v>280</v>
      </c>
      <c r="F38" s="24"/>
    </row>
    <row r="39" spans="1:6" ht="12.75">
      <c r="A39" s="9"/>
      <c r="B39" s="9"/>
      <c r="C39" s="9"/>
      <c r="D39" s="9"/>
      <c r="E39" s="53" t="s">
        <v>281</v>
      </c>
      <c r="F39" s="24"/>
    </row>
    <row r="40" spans="1:6" ht="12.75">
      <c r="A40" s="9"/>
      <c r="B40" s="9"/>
      <c r="C40" s="9"/>
      <c r="D40" s="9"/>
      <c r="E40" s="53" t="s">
        <v>282</v>
      </c>
      <c r="F40" s="24"/>
    </row>
    <row r="41" spans="1:6" ht="12.75">
      <c r="A41" s="9"/>
      <c r="B41" s="9"/>
      <c r="C41" s="9"/>
      <c r="D41" s="9"/>
      <c r="E41" s="53" t="s">
        <v>283</v>
      </c>
      <c r="F41" s="24"/>
    </row>
    <row r="42" spans="1:6" ht="12.75">
      <c r="A42" s="9"/>
      <c r="B42" s="9"/>
      <c r="C42" s="9"/>
      <c r="D42" s="9"/>
      <c r="E42" s="53" t="s">
        <v>284</v>
      </c>
      <c r="F42" s="24"/>
    </row>
    <row r="43" spans="1:6" ht="12.75">
      <c r="A43" s="9"/>
      <c r="B43" s="9"/>
      <c r="C43" s="9"/>
      <c r="D43" s="9"/>
      <c r="E43" s="53" t="s">
        <v>279</v>
      </c>
      <c r="F43" s="24"/>
    </row>
    <row r="44" spans="1:6" ht="12.75">
      <c r="A44" s="9"/>
      <c r="B44" s="9"/>
      <c r="C44" s="9"/>
      <c r="D44" s="9"/>
      <c r="E44" s="53" t="s">
        <v>285</v>
      </c>
      <c r="F44" s="24"/>
    </row>
    <row r="45" spans="1:6" ht="12.75">
      <c r="A45" s="9"/>
      <c r="B45" s="9"/>
      <c r="C45" s="9"/>
      <c r="D45" s="9"/>
      <c r="E45" s="53" t="s">
        <v>286</v>
      </c>
      <c r="F45" s="24"/>
    </row>
    <row r="46" spans="1:6" ht="12.75">
      <c r="A46" s="9"/>
      <c r="B46" s="9"/>
      <c r="C46" s="9"/>
      <c r="D46" s="9"/>
      <c r="E46" s="53" t="s">
        <v>287</v>
      </c>
      <c r="F46" s="24"/>
    </row>
    <row r="47" spans="1:6" ht="12.75">
      <c r="A47" s="9"/>
      <c r="B47" s="9"/>
      <c r="C47" s="9"/>
      <c r="D47" s="9"/>
      <c r="E47" s="53" t="s">
        <v>288</v>
      </c>
      <c r="F47" s="24"/>
    </row>
    <row r="48" spans="1:6" ht="12.75">
      <c r="A48" s="9"/>
      <c r="B48" s="9"/>
      <c r="C48" s="9"/>
      <c r="D48" s="9"/>
      <c r="E48" s="53" t="s">
        <v>289</v>
      </c>
      <c r="F48" s="24"/>
    </row>
    <row r="49" spans="1:6" ht="12.75">
      <c r="A49" s="9"/>
      <c r="B49" s="9"/>
      <c r="C49" s="9"/>
      <c r="D49" s="9"/>
      <c r="E49" s="53" t="s">
        <v>290</v>
      </c>
      <c r="F49" s="24"/>
    </row>
    <row r="50" spans="1:6" ht="12.75">
      <c r="A50" s="9"/>
      <c r="B50" s="9"/>
      <c r="C50" s="9"/>
      <c r="D50" s="9"/>
      <c r="E50" s="53" t="s">
        <v>291</v>
      </c>
      <c r="F50" s="24"/>
    </row>
    <row r="51" spans="1:6" ht="12.75">
      <c r="A51" s="9"/>
      <c r="B51" s="9"/>
      <c r="C51" s="9"/>
      <c r="D51" s="9"/>
      <c r="E51" s="53" t="s">
        <v>292</v>
      </c>
      <c r="F51" s="24"/>
    </row>
    <row r="52" spans="1:6" ht="12.75">
      <c r="A52" s="9"/>
      <c r="B52" s="9"/>
      <c r="C52" s="9"/>
      <c r="D52" s="9"/>
      <c r="E52" s="53" t="s">
        <v>293</v>
      </c>
      <c r="F52" s="24"/>
    </row>
    <row r="53" spans="1:6" ht="12.75">
      <c r="A53" s="9"/>
      <c r="B53" s="9"/>
      <c r="C53" s="9"/>
      <c r="D53" s="9"/>
      <c r="E53" s="53" t="s">
        <v>294</v>
      </c>
      <c r="F53" s="24"/>
    </row>
    <row r="54" spans="1:6" ht="12.75">
      <c r="A54" s="9"/>
      <c r="B54" s="9"/>
      <c r="C54" s="9"/>
      <c r="D54" s="9"/>
      <c r="E54" s="53" t="s">
        <v>295</v>
      </c>
      <c r="F54" s="24"/>
    </row>
    <row r="55" spans="1:6" ht="12.75">
      <c r="A55" s="9"/>
      <c r="B55" s="9"/>
      <c r="C55" s="9"/>
      <c r="D55" s="9"/>
      <c r="E55" s="53" t="s">
        <v>296</v>
      </c>
      <c r="F55" s="24"/>
    </row>
    <row r="56" spans="1:6" ht="12.75">
      <c r="A56" s="9"/>
      <c r="B56" s="9"/>
      <c r="C56" s="9"/>
      <c r="D56" s="9"/>
      <c r="E56" s="53" t="s">
        <v>297</v>
      </c>
      <c r="F56" s="24"/>
    </row>
    <row r="57" spans="1:6" ht="12.75">
      <c r="A57" s="9"/>
      <c r="B57" s="9"/>
      <c r="C57" s="9"/>
      <c r="D57" s="9"/>
      <c r="E57" s="53" t="s">
        <v>298</v>
      </c>
      <c r="F57" s="24"/>
    </row>
    <row r="58" spans="1:6" ht="12.75">
      <c r="A58" s="9" t="s">
        <v>18</v>
      </c>
      <c r="B58" s="9" t="s">
        <v>81</v>
      </c>
      <c r="C58" s="9" t="s">
        <v>157</v>
      </c>
      <c r="D58" s="9" t="s">
        <v>223</v>
      </c>
      <c r="E58" s="53" t="s">
        <v>299</v>
      </c>
      <c r="F58" s="24">
        <v>31.68</v>
      </c>
    </row>
    <row r="59" spans="1:6" ht="12.75">
      <c r="A59" s="9"/>
      <c r="B59" s="9"/>
      <c r="C59" s="9"/>
      <c r="D59" s="9"/>
      <c r="E59" s="53" t="s">
        <v>300</v>
      </c>
      <c r="F59" s="24"/>
    </row>
    <row r="60" spans="1:6" ht="12.75">
      <c r="A60" s="9" t="s">
        <v>19</v>
      </c>
      <c r="B60" s="9" t="s">
        <v>82</v>
      </c>
      <c r="C60" s="9" t="s">
        <v>158</v>
      </c>
      <c r="D60" s="9" t="s">
        <v>223</v>
      </c>
      <c r="E60" s="53" t="s">
        <v>301</v>
      </c>
      <c r="F60" s="24">
        <v>283.81</v>
      </c>
    </row>
    <row r="61" spans="1:6" ht="12.75">
      <c r="A61" s="9"/>
      <c r="B61" s="9"/>
      <c r="C61" s="9"/>
      <c r="D61" s="9"/>
      <c r="E61" s="53" t="s">
        <v>294</v>
      </c>
      <c r="F61" s="24"/>
    </row>
    <row r="62" spans="1:6" ht="12.75">
      <c r="A62" s="9"/>
      <c r="B62" s="9"/>
      <c r="C62" s="9"/>
      <c r="D62" s="9"/>
      <c r="E62" s="53" t="s">
        <v>302</v>
      </c>
      <c r="F62" s="24"/>
    </row>
    <row r="63" spans="1:6" ht="12.75">
      <c r="A63" s="9"/>
      <c r="B63" s="9"/>
      <c r="C63" s="9"/>
      <c r="D63" s="9"/>
      <c r="E63" s="53" t="s">
        <v>286</v>
      </c>
      <c r="F63" s="24"/>
    </row>
    <row r="64" spans="1:6" ht="12.75">
      <c r="A64" s="9"/>
      <c r="B64" s="9"/>
      <c r="C64" s="9"/>
      <c r="D64" s="9"/>
      <c r="E64" s="53" t="s">
        <v>303</v>
      </c>
      <c r="F64" s="24"/>
    </row>
    <row r="65" spans="1:6" ht="12.75">
      <c r="A65" s="9"/>
      <c r="B65" s="9"/>
      <c r="C65" s="9"/>
      <c r="D65" s="9"/>
      <c r="E65" s="53" t="s">
        <v>304</v>
      </c>
      <c r="F65" s="24"/>
    </row>
    <row r="66" spans="1:6" ht="12.75">
      <c r="A66" s="9"/>
      <c r="B66" s="9"/>
      <c r="C66" s="9"/>
      <c r="D66" s="9"/>
      <c r="E66" s="53" t="s">
        <v>305</v>
      </c>
      <c r="F66" s="24"/>
    </row>
    <row r="67" spans="1:6" ht="12.75">
      <c r="A67" s="9"/>
      <c r="B67" s="9"/>
      <c r="C67" s="9"/>
      <c r="D67" s="9"/>
      <c r="E67" s="53" t="s">
        <v>283</v>
      </c>
      <c r="F67" s="24"/>
    </row>
    <row r="68" spans="1:6" ht="12.75">
      <c r="A68" s="9"/>
      <c r="B68" s="9"/>
      <c r="C68" s="9"/>
      <c r="D68" s="9"/>
      <c r="E68" s="53" t="s">
        <v>306</v>
      </c>
      <c r="F68" s="24"/>
    </row>
    <row r="69" spans="1:6" ht="12.75">
      <c r="A69" s="9"/>
      <c r="B69" s="9"/>
      <c r="C69" s="9"/>
      <c r="D69" s="9"/>
      <c r="E69" s="53" t="s">
        <v>286</v>
      </c>
      <c r="F69" s="24"/>
    </row>
    <row r="70" spans="1:6" ht="12.75">
      <c r="A70" s="9"/>
      <c r="B70" s="9"/>
      <c r="C70" s="9"/>
      <c r="D70" s="9"/>
      <c r="E70" s="53" t="s">
        <v>307</v>
      </c>
      <c r="F70" s="24"/>
    </row>
    <row r="71" spans="1:6" ht="12.75">
      <c r="A71" s="9"/>
      <c r="B71" s="9"/>
      <c r="C71" s="9"/>
      <c r="D71" s="9"/>
      <c r="E71" s="53" t="s">
        <v>308</v>
      </c>
      <c r="F71" s="24"/>
    </row>
    <row r="72" spans="1:6" ht="12.75">
      <c r="A72" s="9"/>
      <c r="B72" s="9"/>
      <c r="C72" s="9"/>
      <c r="D72" s="9"/>
      <c r="E72" s="53" t="s">
        <v>309</v>
      </c>
      <c r="F72" s="24"/>
    </row>
    <row r="73" spans="1:6" ht="12.75">
      <c r="A73" s="9"/>
      <c r="B73" s="9"/>
      <c r="C73" s="9"/>
      <c r="D73" s="9"/>
      <c r="E73" s="53" t="s">
        <v>36</v>
      </c>
      <c r="F73" s="24"/>
    </row>
    <row r="74" spans="1:6" ht="12.75">
      <c r="A74" s="9"/>
      <c r="B74" s="9"/>
      <c r="C74" s="9"/>
      <c r="D74" s="9"/>
      <c r="E74" s="53" t="s">
        <v>310</v>
      </c>
      <c r="F74" s="24"/>
    </row>
    <row r="75" spans="1:6" ht="12.75">
      <c r="A75" s="9"/>
      <c r="B75" s="9"/>
      <c r="C75" s="9"/>
      <c r="D75" s="9"/>
      <c r="E75" s="53" t="s">
        <v>61</v>
      </c>
      <c r="F75" s="24"/>
    </row>
    <row r="76" spans="1:6" ht="12.75">
      <c r="A76" s="9" t="s">
        <v>20</v>
      </c>
      <c r="B76" s="9" t="s">
        <v>83</v>
      </c>
      <c r="C76" s="9" t="s">
        <v>159</v>
      </c>
      <c r="D76" s="9" t="s">
        <v>223</v>
      </c>
      <c r="E76" s="53" t="s">
        <v>311</v>
      </c>
      <c r="F76" s="24">
        <v>52.98</v>
      </c>
    </row>
    <row r="77" spans="1:6" ht="12.75">
      <c r="A77" s="9"/>
      <c r="B77" s="9"/>
      <c r="C77" s="9"/>
      <c r="D77" s="9"/>
      <c r="E77" s="53" t="s">
        <v>312</v>
      </c>
      <c r="F77" s="24"/>
    </row>
    <row r="78" spans="1:6" ht="12.75">
      <c r="A78" s="9"/>
      <c r="B78" s="9"/>
      <c r="C78" s="9"/>
      <c r="D78" s="9"/>
      <c r="E78" s="53" t="s">
        <v>286</v>
      </c>
      <c r="F78" s="24"/>
    </row>
    <row r="79" spans="1:6" ht="12.75">
      <c r="A79" s="9"/>
      <c r="B79" s="9"/>
      <c r="C79" s="9"/>
      <c r="D79" s="9"/>
      <c r="E79" s="53" t="s">
        <v>313</v>
      </c>
      <c r="F79" s="24"/>
    </row>
    <row r="80" spans="1:6" ht="12.75">
      <c r="A80" s="9" t="s">
        <v>21</v>
      </c>
      <c r="B80" s="9" t="s">
        <v>83</v>
      </c>
      <c r="C80" s="9" t="s">
        <v>160</v>
      </c>
      <c r="D80" s="9" t="s">
        <v>223</v>
      </c>
      <c r="E80" s="53" t="s">
        <v>314</v>
      </c>
      <c r="F80" s="24">
        <v>16.42</v>
      </c>
    </row>
    <row r="81" spans="1:6" ht="12.75">
      <c r="A81" s="9" t="s">
        <v>22</v>
      </c>
      <c r="B81" s="9" t="s">
        <v>83</v>
      </c>
      <c r="C81" s="9" t="s">
        <v>161</v>
      </c>
      <c r="D81" s="9" t="s">
        <v>223</v>
      </c>
      <c r="E81" s="53" t="s">
        <v>277</v>
      </c>
      <c r="F81" s="24">
        <v>54.72</v>
      </c>
    </row>
    <row r="82" spans="1:6" ht="12.75">
      <c r="A82" s="9"/>
      <c r="B82" s="9"/>
      <c r="C82" s="9"/>
      <c r="D82" s="9"/>
      <c r="E82" s="53" t="s">
        <v>315</v>
      </c>
      <c r="F82" s="24"/>
    </row>
    <row r="83" spans="1:6" ht="12.75">
      <c r="A83" s="9"/>
      <c r="B83" s="9"/>
      <c r="C83" s="9"/>
      <c r="D83" s="9"/>
      <c r="E83" s="53" t="s">
        <v>316</v>
      </c>
      <c r="F83" s="24"/>
    </row>
    <row r="84" spans="1:6" ht="12.75">
      <c r="A84" s="9"/>
      <c r="B84" s="9"/>
      <c r="C84" s="9"/>
      <c r="D84" s="9"/>
      <c r="E84" s="53" t="s">
        <v>317</v>
      </c>
      <c r="F84" s="24"/>
    </row>
    <row r="85" spans="1:6" ht="12.75">
      <c r="A85" s="9" t="s">
        <v>23</v>
      </c>
      <c r="B85" s="9" t="s">
        <v>84</v>
      </c>
      <c r="C85" s="9" t="s">
        <v>162</v>
      </c>
      <c r="D85" s="9" t="s">
        <v>223</v>
      </c>
      <c r="E85" s="53" t="s">
        <v>318</v>
      </c>
      <c r="F85" s="24">
        <v>48.53</v>
      </c>
    </row>
    <row r="86" spans="1:6" ht="12.75">
      <c r="A86" s="9"/>
      <c r="B86" s="9"/>
      <c r="C86" s="9"/>
      <c r="D86" s="9"/>
      <c r="E86" s="53" t="s">
        <v>319</v>
      </c>
      <c r="F86" s="24"/>
    </row>
    <row r="87" spans="1:6" ht="12.75">
      <c r="A87" s="9"/>
      <c r="B87" s="9"/>
      <c r="C87" s="9"/>
      <c r="D87" s="9"/>
      <c r="E87" s="53" t="s">
        <v>320</v>
      </c>
      <c r="F87" s="24"/>
    </row>
    <row r="88" spans="1:6" ht="12.75">
      <c r="A88" s="9"/>
      <c r="B88" s="9"/>
      <c r="C88" s="9"/>
      <c r="D88" s="9"/>
      <c r="E88" s="53" t="s">
        <v>321</v>
      </c>
      <c r="F88" s="24"/>
    </row>
    <row r="89" spans="1:6" ht="12.75">
      <c r="A89" s="9" t="s">
        <v>24</v>
      </c>
      <c r="B89" s="9" t="s">
        <v>84</v>
      </c>
      <c r="C89" s="9" t="s">
        <v>163</v>
      </c>
      <c r="D89" s="9" t="s">
        <v>223</v>
      </c>
      <c r="E89" s="53" t="s">
        <v>322</v>
      </c>
      <c r="F89" s="24">
        <v>11.97</v>
      </c>
    </row>
    <row r="90" spans="1:6" ht="12.75">
      <c r="A90" s="9"/>
      <c r="B90" s="9"/>
      <c r="C90" s="9"/>
      <c r="D90" s="9"/>
      <c r="E90" s="53" t="s">
        <v>323</v>
      </c>
      <c r="F90" s="24"/>
    </row>
    <row r="91" spans="1:6" ht="12.75">
      <c r="A91" s="9" t="s">
        <v>25</v>
      </c>
      <c r="B91" s="9" t="s">
        <v>85</v>
      </c>
      <c r="C91" s="9" t="s">
        <v>164</v>
      </c>
      <c r="D91" s="9" t="s">
        <v>223</v>
      </c>
      <c r="E91" s="53" t="s">
        <v>324</v>
      </c>
      <c r="F91" s="24">
        <v>34.08</v>
      </c>
    </row>
    <row r="92" spans="1:6" ht="12.75">
      <c r="A92" s="9"/>
      <c r="B92" s="9"/>
      <c r="C92" s="9"/>
      <c r="D92" s="9"/>
      <c r="E92" s="53" t="s">
        <v>283</v>
      </c>
      <c r="F92" s="24"/>
    </row>
    <row r="93" spans="1:6" ht="12.75">
      <c r="A93" s="9"/>
      <c r="B93" s="9"/>
      <c r="C93" s="9"/>
      <c r="D93" s="9"/>
      <c r="E93" s="53" t="s">
        <v>325</v>
      </c>
      <c r="F93" s="24"/>
    </row>
    <row r="94" spans="1:6" ht="12.75">
      <c r="A94" s="9"/>
      <c r="B94" s="9"/>
      <c r="C94" s="9"/>
      <c r="D94" s="9"/>
      <c r="E94" s="53" t="s">
        <v>326</v>
      </c>
      <c r="F94" s="24"/>
    </row>
    <row r="95" spans="1:6" ht="12.75">
      <c r="A95" s="9"/>
      <c r="B95" s="9"/>
      <c r="C95" s="9"/>
      <c r="D95" s="9"/>
      <c r="E95" s="53" t="s">
        <v>294</v>
      </c>
      <c r="F95" s="24"/>
    </row>
    <row r="96" spans="1:6" ht="12.75">
      <c r="A96" s="9"/>
      <c r="B96" s="9"/>
      <c r="C96" s="9"/>
      <c r="D96" s="9"/>
      <c r="E96" s="53" t="s">
        <v>327</v>
      </c>
      <c r="F96" s="24"/>
    </row>
    <row r="97" spans="1:6" ht="12.75">
      <c r="A97" s="9" t="s">
        <v>26</v>
      </c>
      <c r="B97" s="9" t="s">
        <v>85</v>
      </c>
      <c r="C97" s="9" t="s">
        <v>165</v>
      </c>
      <c r="D97" s="9" t="s">
        <v>223</v>
      </c>
      <c r="E97" s="53" t="s">
        <v>283</v>
      </c>
      <c r="F97" s="24">
        <v>4.37</v>
      </c>
    </row>
    <row r="98" spans="1:6" ht="12.75">
      <c r="A98" s="9"/>
      <c r="B98" s="9"/>
      <c r="C98" s="9"/>
      <c r="D98" s="9"/>
      <c r="E98" s="53" t="s">
        <v>328</v>
      </c>
      <c r="F98" s="24"/>
    </row>
    <row r="99" spans="1:6" ht="12.75">
      <c r="A99" s="9" t="s">
        <v>27</v>
      </c>
      <c r="B99" s="9" t="s">
        <v>86</v>
      </c>
      <c r="C99" s="9" t="s">
        <v>166</v>
      </c>
      <c r="D99" s="9" t="s">
        <v>223</v>
      </c>
      <c r="E99" s="53" t="s">
        <v>329</v>
      </c>
      <c r="F99" s="24">
        <v>27.27</v>
      </c>
    </row>
    <row r="100" spans="1:6" ht="12.75">
      <c r="A100" s="9"/>
      <c r="B100" s="9"/>
      <c r="C100" s="9"/>
      <c r="D100" s="9"/>
      <c r="E100" s="53" t="s">
        <v>330</v>
      </c>
      <c r="F100" s="24"/>
    </row>
    <row r="101" spans="1:6" ht="12.75">
      <c r="A101" s="9"/>
      <c r="B101" s="9"/>
      <c r="C101" s="9"/>
      <c r="D101" s="9"/>
      <c r="E101" s="53" t="s">
        <v>331</v>
      </c>
      <c r="F101" s="24"/>
    </row>
    <row r="102" spans="1:6" ht="12.75">
      <c r="A102" s="9"/>
      <c r="B102" s="9"/>
      <c r="C102" s="9"/>
      <c r="D102" s="9"/>
      <c r="E102" s="53" t="s">
        <v>332</v>
      </c>
      <c r="F102" s="24"/>
    </row>
    <row r="103" spans="1:6" ht="12.75">
      <c r="A103" s="9"/>
      <c r="B103" s="9"/>
      <c r="C103" s="9"/>
      <c r="D103" s="9"/>
      <c r="E103" s="53" t="s">
        <v>333</v>
      </c>
      <c r="F103" s="24"/>
    </row>
    <row r="104" spans="1:6" ht="12.75">
      <c r="A104" s="9"/>
      <c r="B104" s="9"/>
      <c r="C104" s="9"/>
      <c r="D104" s="9"/>
      <c r="E104" s="53" t="s">
        <v>334</v>
      </c>
      <c r="F104" s="24"/>
    </row>
    <row r="105" spans="1:6" ht="12.75">
      <c r="A105" s="9"/>
      <c r="B105" s="9"/>
      <c r="C105" s="9"/>
      <c r="D105" s="9"/>
      <c r="E105" s="53" t="s">
        <v>335</v>
      </c>
      <c r="F105" s="24"/>
    </row>
    <row r="106" spans="1:6" ht="12.75">
      <c r="A106" s="9"/>
      <c r="B106" s="9"/>
      <c r="C106" s="9"/>
      <c r="D106" s="9"/>
      <c r="E106" s="53" t="s">
        <v>336</v>
      </c>
      <c r="F106" s="24"/>
    </row>
    <row r="107" spans="1:6" ht="12.75">
      <c r="A107" s="9"/>
      <c r="B107" s="9"/>
      <c r="C107" s="9"/>
      <c r="D107" s="9"/>
      <c r="E107" s="53" t="s">
        <v>337</v>
      </c>
      <c r="F107" s="24"/>
    </row>
    <row r="108" spans="1:6" ht="12.75">
      <c r="A108" s="9"/>
      <c r="B108" s="9"/>
      <c r="C108" s="9"/>
      <c r="D108" s="9"/>
      <c r="E108" s="53" t="s">
        <v>338</v>
      </c>
      <c r="F108" s="24"/>
    </row>
    <row r="109" spans="1:6" ht="12.75">
      <c r="A109" s="9" t="s">
        <v>28</v>
      </c>
      <c r="B109" s="9" t="s">
        <v>87</v>
      </c>
      <c r="C109" s="9" t="s">
        <v>167</v>
      </c>
      <c r="D109" s="9" t="s">
        <v>225</v>
      </c>
      <c r="E109" s="53" t="s">
        <v>339</v>
      </c>
      <c r="F109" s="24">
        <v>14.4</v>
      </c>
    </row>
    <row r="110" spans="1:6" ht="12.75">
      <c r="A110" s="9"/>
      <c r="B110" s="9"/>
      <c r="C110" s="9"/>
      <c r="D110" s="9"/>
      <c r="E110" s="53" t="s">
        <v>340</v>
      </c>
      <c r="F110" s="24"/>
    </row>
    <row r="111" spans="1:6" ht="12.75">
      <c r="A111" s="9" t="s">
        <v>29</v>
      </c>
      <c r="B111" s="9" t="s">
        <v>89</v>
      </c>
      <c r="C111" s="9" t="s">
        <v>169</v>
      </c>
      <c r="D111" s="9" t="s">
        <v>223</v>
      </c>
      <c r="E111" s="53"/>
      <c r="F111" s="24">
        <v>71.33</v>
      </c>
    </row>
    <row r="112" spans="1:6" ht="12.75">
      <c r="A112" s="9"/>
      <c r="B112" s="9"/>
      <c r="C112" s="9"/>
      <c r="D112" s="9"/>
      <c r="E112" s="53" t="s">
        <v>341</v>
      </c>
      <c r="F112" s="24"/>
    </row>
    <row r="113" spans="1:6" ht="12.75">
      <c r="A113" s="9"/>
      <c r="B113" s="9"/>
      <c r="C113" s="9"/>
      <c r="D113" s="9"/>
      <c r="E113" s="53" t="s">
        <v>263</v>
      </c>
      <c r="F113" s="24"/>
    </row>
    <row r="114" spans="1:6" ht="12.75">
      <c r="A114" s="9"/>
      <c r="B114" s="9"/>
      <c r="C114" s="9"/>
      <c r="D114" s="9"/>
      <c r="E114" s="53" t="s">
        <v>342</v>
      </c>
      <c r="F114" s="24"/>
    </row>
    <row r="115" spans="1:6" ht="12.75">
      <c r="A115" s="9"/>
      <c r="B115" s="9"/>
      <c r="C115" s="9"/>
      <c r="D115" s="9"/>
      <c r="E115" s="53" t="s">
        <v>343</v>
      </c>
      <c r="F115" s="24"/>
    </row>
    <row r="116" spans="1:6" ht="12.75">
      <c r="A116" s="9" t="s">
        <v>30</v>
      </c>
      <c r="B116" s="9" t="s">
        <v>91</v>
      </c>
      <c r="C116" s="9" t="s">
        <v>171</v>
      </c>
      <c r="D116" s="9" t="s">
        <v>223</v>
      </c>
      <c r="E116" s="53" t="s">
        <v>344</v>
      </c>
      <c r="F116" s="24">
        <v>123.07</v>
      </c>
    </row>
    <row r="117" spans="1:6" ht="12.75">
      <c r="A117" s="9"/>
      <c r="B117" s="9"/>
      <c r="C117" s="9"/>
      <c r="D117" s="9"/>
      <c r="E117" s="53" t="s">
        <v>345</v>
      </c>
      <c r="F117" s="24"/>
    </row>
    <row r="118" spans="1:6" ht="12.75">
      <c r="A118" s="9"/>
      <c r="B118" s="9"/>
      <c r="C118" s="9"/>
      <c r="D118" s="9"/>
      <c r="E118" s="53" t="s">
        <v>346</v>
      </c>
      <c r="F118" s="24"/>
    </row>
    <row r="119" spans="1:6" ht="12.75">
      <c r="A119" s="9"/>
      <c r="B119" s="9"/>
      <c r="C119" s="9"/>
      <c r="D119" s="9"/>
      <c r="E119" s="53" t="s">
        <v>347</v>
      </c>
      <c r="F119" s="24"/>
    </row>
    <row r="120" spans="1:6" ht="12.75">
      <c r="A120" s="9"/>
      <c r="B120" s="9"/>
      <c r="C120" s="9"/>
      <c r="D120" s="9"/>
      <c r="E120" s="53" t="s">
        <v>348</v>
      </c>
      <c r="F120" s="24"/>
    </row>
    <row r="121" spans="1:6" ht="12.75">
      <c r="A121" s="9"/>
      <c r="B121" s="9"/>
      <c r="C121" s="9"/>
      <c r="D121" s="9"/>
      <c r="E121" s="53" t="s">
        <v>349</v>
      </c>
      <c r="F121" s="24"/>
    </row>
    <row r="122" spans="1:6" ht="12.75">
      <c r="A122" s="9"/>
      <c r="B122" s="9"/>
      <c r="C122" s="9"/>
      <c r="D122" s="9"/>
      <c r="E122" s="53" t="s">
        <v>350</v>
      </c>
      <c r="F122" s="24"/>
    </row>
    <row r="123" spans="1:6" ht="12.75">
      <c r="A123" s="9"/>
      <c r="B123" s="9"/>
      <c r="C123" s="9"/>
      <c r="D123" s="9"/>
      <c r="E123" s="53" t="s">
        <v>351</v>
      </c>
      <c r="F123" s="24"/>
    </row>
    <row r="124" spans="1:6" ht="12.75">
      <c r="A124" s="9"/>
      <c r="B124" s="9"/>
      <c r="C124" s="9"/>
      <c r="D124" s="9"/>
      <c r="E124" s="53" t="s">
        <v>352</v>
      </c>
      <c r="F124" s="24"/>
    </row>
    <row r="125" spans="1:6" ht="12.75">
      <c r="A125" s="9"/>
      <c r="B125" s="9"/>
      <c r="C125" s="9"/>
      <c r="D125" s="9"/>
      <c r="E125" s="53" t="s">
        <v>353</v>
      </c>
      <c r="F125" s="24"/>
    </row>
    <row r="126" spans="1:6" ht="12.75">
      <c r="A126" s="9"/>
      <c r="B126" s="9"/>
      <c r="C126" s="9"/>
      <c r="D126" s="9"/>
      <c r="E126" s="53" t="s">
        <v>354</v>
      </c>
      <c r="F126" s="24"/>
    </row>
    <row r="127" spans="1:6" ht="12.75">
      <c r="A127" s="9"/>
      <c r="B127" s="9"/>
      <c r="C127" s="9"/>
      <c r="D127" s="9"/>
      <c r="E127" s="53" t="s">
        <v>355</v>
      </c>
      <c r="F127" s="24"/>
    </row>
    <row r="128" spans="1:6" ht="12.75">
      <c r="A128" s="9"/>
      <c r="B128" s="9"/>
      <c r="C128" s="9"/>
      <c r="D128" s="9"/>
      <c r="E128" s="53" t="s">
        <v>356</v>
      </c>
      <c r="F128" s="24"/>
    </row>
    <row r="129" spans="1:6" ht="12.75">
      <c r="A129" s="9"/>
      <c r="B129" s="9"/>
      <c r="C129" s="9"/>
      <c r="D129" s="9"/>
      <c r="E129" s="53" t="s">
        <v>357</v>
      </c>
      <c r="F129" s="24"/>
    </row>
    <row r="130" spans="1:6" ht="12.75">
      <c r="A130" s="9"/>
      <c r="B130" s="9"/>
      <c r="C130" s="9"/>
      <c r="D130" s="9"/>
      <c r="E130" s="53" t="s">
        <v>358</v>
      </c>
      <c r="F130" s="24"/>
    </row>
    <row r="131" spans="1:6" ht="12.75">
      <c r="A131" s="9" t="s">
        <v>31</v>
      </c>
      <c r="B131" s="9" t="s">
        <v>93</v>
      </c>
      <c r="C131" s="9" t="s">
        <v>173</v>
      </c>
      <c r="D131" s="9" t="s">
        <v>225</v>
      </c>
      <c r="E131" s="53" t="s">
        <v>359</v>
      </c>
      <c r="F131" s="24">
        <v>7.2</v>
      </c>
    </row>
    <row r="132" spans="1:6" ht="12.75">
      <c r="A132" s="9" t="s">
        <v>32</v>
      </c>
      <c r="B132" s="9" t="s">
        <v>94</v>
      </c>
      <c r="C132" s="9" t="s">
        <v>174</v>
      </c>
      <c r="D132" s="9" t="s">
        <v>225</v>
      </c>
      <c r="E132" s="53" t="s">
        <v>360</v>
      </c>
      <c r="F132" s="24">
        <v>44.6</v>
      </c>
    </row>
    <row r="133" spans="1:6" ht="12.75">
      <c r="A133" s="9" t="s">
        <v>33</v>
      </c>
      <c r="B133" s="9" t="s">
        <v>95</v>
      </c>
      <c r="C133" s="9" t="s">
        <v>175</v>
      </c>
      <c r="D133" s="9" t="s">
        <v>225</v>
      </c>
      <c r="E133" s="53" t="s">
        <v>361</v>
      </c>
      <c r="F133" s="24">
        <v>68.28</v>
      </c>
    </row>
    <row r="134" spans="1:6" ht="12.75">
      <c r="A134" s="9"/>
      <c r="B134" s="9"/>
      <c r="C134" s="9"/>
      <c r="D134" s="9"/>
      <c r="E134" s="53" t="s">
        <v>362</v>
      </c>
      <c r="F134" s="24"/>
    </row>
    <row r="135" spans="1:6" ht="12.75">
      <c r="A135" s="9" t="s">
        <v>34</v>
      </c>
      <c r="B135" s="9" t="s">
        <v>97</v>
      </c>
      <c r="C135" s="9" t="s">
        <v>177</v>
      </c>
      <c r="D135" s="9" t="s">
        <v>225</v>
      </c>
      <c r="E135" s="53"/>
      <c r="F135" s="24">
        <v>1</v>
      </c>
    </row>
    <row r="136" spans="1:6" ht="12.75">
      <c r="A136" s="9" t="s">
        <v>35</v>
      </c>
      <c r="B136" s="9" t="s">
        <v>98</v>
      </c>
      <c r="C136" s="9" t="s">
        <v>178</v>
      </c>
      <c r="D136" s="9" t="s">
        <v>226</v>
      </c>
      <c r="E136" s="53" t="s">
        <v>363</v>
      </c>
      <c r="F136" s="24">
        <v>55</v>
      </c>
    </row>
    <row r="137" spans="1:6" ht="12.75">
      <c r="A137" s="9"/>
      <c r="B137" s="9"/>
      <c r="C137" s="9"/>
      <c r="D137" s="9"/>
      <c r="E137" s="53" t="s">
        <v>364</v>
      </c>
      <c r="F137" s="24"/>
    </row>
    <row r="138" spans="1:6" ht="12.75">
      <c r="A138" s="9"/>
      <c r="B138" s="9"/>
      <c r="C138" s="9"/>
      <c r="D138" s="9"/>
      <c r="E138" s="53" t="s">
        <v>61</v>
      </c>
      <c r="F138" s="24"/>
    </row>
    <row r="139" spans="1:6" ht="12.75">
      <c r="A139" s="9" t="s">
        <v>36</v>
      </c>
      <c r="B139" s="9" t="s">
        <v>100</v>
      </c>
      <c r="C139" s="9" t="s">
        <v>180</v>
      </c>
      <c r="D139" s="9" t="s">
        <v>223</v>
      </c>
      <c r="E139" s="53" t="s">
        <v>365</v>
      </c>
      <c r="F139" s="24">
        <v>0.66</v>
      </c>
    </row>
    <row r="140" spans="1:6" ht="12.75">
      <c r="A140" s="9"/>
      <c r="B140" s="9"/>
      <c r="C140" s="9"/>
      <c r="D140" s="9"/>
      <c r="E140" s="53" t="s">
        <v>366</v>
      </c>
      <c r="F140" s="24"/>
    </row>
    <row r="141" spans="1:6" ht="12.75">
      <c r="A141" s="9" t="s">
        <v>37</v>
      </c>
      <c r="B141" s="9" t="s">
        <v>102</v>
      </c>
      <c r="C141" s="9" t="s">
        <v>182</v>
      </c>
      <c r="D141" s="9" t="s">
        <v>223</v>
      </c>
      <c r="E141" s="53" t="s">
        <v>367</v>
      </c>
      <c r="F141" s="24">
        <v>0.55</v>
      </c>
    </row>
    <row r="142" spans="1:6" ht="12.75">
      <c r="A142" s="9"/>
      <c r="B142" s="9"/>
      <c r="C142" s="9"/>
      <c r="D142" s="9"/>
      <c r="E142" s="53" t="s">
        <v>368</v>
      </c>
      <c r="F142" s="24"/>
    </row>
    <row r="143" spans="1:6" ht="12.75">
      <c r="A143" s="9" t="s">
        <v>38</v>
      </c>
      <c r="B143" s="9" t="s">
        <v>103</v>
      </c>
      <c r="C143" s="9" t="s">
        <v>183</v>
      </c>
      <c r="D143" s="9" t="s">
        <v>223</v>
      </c>
      <c r="E143" s="53" t="s">
        <v>369</v>
      </c>
      <c r="F143" s="24">
        <v>0.55</v>
      </c>
    </row>
    <row r="144" spans="1:6" ht="12.75">
      <c r="A144" s="9" t="s">
        <v>39</v>
      </c>
      <c r="B144" s="9" t="s">
        <v>105</v>
      </c>
      <c r="C144" s="9" t="s">
        <v>185</v>
      </c>
      <c r="D144" s="9" t="s">
        <v>225</v>
      </c>
      <c r="E144" s="53" t="s">
        <v>370</v>
      </c>
      <c r="F144" s="24">
        <v>121.2</v>
      </c>
    </row>
    <row r="145" spans="1:6" ht="12.75">
      <c r="A145" s="9"/>
      <c r="B145" s="9"/>
      <c r="C145" s="9"/>
      <c r="D145" s="9"/>
      <c r="E145" s="53" t="s">
        <v>371</v>
      </c>
      <c r="F145" s="24"/>
    </row>
    <row r="146" spans="1:6" ht="12.75">
      <c r="A146" s="9" t="s">
        <v>40</v>
      </c>
      <c r="B146" s="9" t="s">
        <v>107</v>
      </c>
      <c r="C146" s="9" t="s">
        <v>187</v>
      </c>
      <c r="D146" s="9" t="s">
        <v>224</v>
      </c>
      <c r="E146" s="53" t="s">
        <v>342</v>
      </c>
      <c r="F146" s="24">
        <v>2.73</v>
      </c>
    </row>
    <row r="147" spans="1:6" ht="12.75">
      <c r="A147" s="9"/>
      <c r="B147" s="9"/>
      <c r="C147" s="9"/>
      <c r="D147" s="9"/>
      <c r="E147" s="53" t="s">
        <v>372</v>
      </c>
      <c r="F147" s="24"/>
    </row>
    <row r="148" spans="1:6" ht="12.75">
      <c r="A148" s="9"/>
      <c r="B148" s="9"/>
      <c r="C148" s="9"/>
      <c r="D148" s="9"/>
      <c r="E148" s="53" t="s">
        <v>373</v>
      </c>
      <c r="F148" s="24"/>
    </row>
    <row r="149" spans="1:6" ht="12.75">
      <c r="A149" s="9"/>
      <c r="B149" s="9"/>
      <c r="C149" s="9"/>
      <c r="D149" s="9"/>
      <c r="E149" s="53" t="s">
        <v>374</v>
      </c>
      <c r="F149" s="24"/>
    </row>
    <row r="150" spans="1:6" ht="12.75">
      <c r="A150" s="9"/>
      <c r="B150" s="9"/>
      <c r="C150" s="9"/>
      <c r="D150" s="9"/>
      <c r="E150" s="53" t="s">
        <v>375</v>
      </c>
      <c r="F150" s="24"/>
    </row>
    <row r="151" spans="1:6" ht="12.75">
      <c r="A151" s="9"/>
      <c r="B151" s="9"/>
      <c r="C151" s="9"/>
      <c r="D151" s="9"/>
      <c r="E151" s="53" t="s">
        <v>374</v>
      </c>
      <c r="F151" s="24"/>
    </row>
    <row r="152" spans="1:6" ht="12.75">
      <c r="A152" s="9" t="s">
        <v>41</v>
      </c>
      <c r="B152" s="9" t="s">
        <v>108</v>
      </c>
      <c r="C152" s="9" t="s">
        <v>188</v>
      </c>
      <c r="D152" s="9" t="s">
        <v>223</v>
      </c>
      <c r="E152" s="53" t="s">
        <v>341</v>
      </c>
      <c r="F152" s="24">
        <v>58.1</v>
      </c>
    </row>
    <row r="153" spans="1:6" ht="12.75">
      <c r="A153" s="9"/>
      <c r="B153" s="9"/>
      <c r="C153" s="9"/>
      <c r="D153" s="9"/>
      <c r="E153" s="53" t="s">
        <v>263</v>
      </c>
      <c r="F153" s="24">
        <v>0</v>
      </c>
    </row>
    <row r="154" spans="1:6" ht="12.75">
      <c r="A154" s="9" t="s">
        <v>42</v>
      </c>
      <c r="B154" s="9" t="s">
        <v>109</v>
      </c>
      <c r="C154" s="9" t="s">
        <v>189</v>
      </c>
      <c r="D154" s="9" t="s">
        <v>223</v>
      </c>
      <c r="E154" s="53" t="s">
        <v>376</v>
      </c>
      <c r="F154" s="24">
        <v>11.27</v>
      </c>
    </row>
    <row r="155" spans="1:6" ht="12.75">
      <c r="A155" s="9"/>
      <c r="B155" s="9"/>
      <c r="C155" s="9"/>
      <c r="D155" s="9"/>
      <c r="E155" s="53" t="s">
        <v>377</v>
      </c>
      <c r="F155" s="24"/>
    </row>
    <row r="156" spans="1:6" ht="12.75">
      <c r="A156" s="9"/>
      <c r="B156" s="9"/>
      <c r="C156" s="9"/>
      <c r="D156" s="9"/>
      <c r="E156" s="53" t="s">
        <v>378</v>
      </c>
      <c r="F156" s="24"/>
    </row>
    <row r="157" spans="1:6" ht="12.75">
      <c r="A157" s="9"/>
      <c r="B157" s="9"/>
      <c r="C157" s="9"/>
      <c r="D157" s="9"/>
      <c r="E157" s="53" t="s">
        <v>379</v>
      </c>
      <c r="F157" s="24"/>
    </row>
    <row r="158" spans="1:6" ht="12.75">
      <c r="A158" s="9" t="s">
        <v>43</v>
      </c>
      <c r="B158" s="9" t="s">
        <v>110</v>
      </c>
      <c r="C158" s="9" t="s">
        <v>190</v>
      </c>
      <c r="D158" s="9" t="s">
        <v>227</v>
      </c>
      <c r="E158" s="53" t="s">
        <v>14</v>
      </c>
      <c r="F158" s="24">
        <v>8</v>
      </c>
    </row>
    <row r="159" spans="1:6" ht="12.75">
      <c r="A159" s="9" t="s">
        <v>44</v>
      </c>
      <c r="B159" s="9" t="s">
        <v>111</v>
      </c>
      <c r="C159" s="9" t="s">
        <v>191</v>
      </c>
      <c r="D159" s="9" t="s">
        <v>223</v>
      </c>
      <c r="E159" s="53" t="s">
        <v>380</v>
      </c>
      <c r="F159" s="24">
        <v>6.48</v>
      </c>
    </row>
    <row r="160" spans="1:6" ht="12.75">
      <c r="A160" s="9" t="s">
        <v>45</v>
      </c>
      <c r="B160" s="9" t="s">
        <v>112</v>
      </c>
      <c r="C160" s="9" t="s">
        <v>192</v>
      </c>
      <c r="D160" s="9" t="s">
        <v>224</v>
      </c>
      <c r="E160" s="53" t="s">
        <v>381</v>
      </c>
      <c r="F160" s="24">
        <v>0.68</v>
      </c>
    </row>
    <row r="161" spans="1:6" ht="12.75">
      <c r="A161" s="9"/>
      <c r="B161" s="9"/>
      <c r="C161" s="9"/>
      <c r="D161" s="9"/>
      <c r="E161" s="53" t="s">
        <v>382</v>
      </c>
      <c r="F161" s="24"/>
    </row>
    <row r="162" spans="1:6" ht="12.75">
      <c r="A162" s="9" t="s">
        <v>46</v>
      </c>
      <c r="B162" s="9" t="s">
        <v>113</v>
      </c>
      <c r="C162" s="9" t="s">
        <v>193</v>
      </c>
      <c r="D162" s="9" t="s">
        <v>227</v>
      </c>
      <c r="E162" s="53"/>
      <c r="F162" s="24">
        <v>1</v>
      </c>
    </row>
    <row r="163" spans="1:6" ht="12.75">
      <c r="A163" s="9" t="s">
        <v>47</v>
      </c>
      <c r="B163" s="9" t="s">
        <v>114</v>
      </c>
      <c r="C163" s="9" t="s">
        <v>194</v>
      </c>
      <c r="D163" s="9" t="s">
        <v>223</v>
      </c>
      <c r="E163" s="53" t="s">
        <v>383</v>
      </c>
      <c r="F163" s="24">
        <v>1.6</v>
      </c>
    </row>
    <row r="164" spans="1:6" ht="12.75">
      <c r="A164" s="9" t="s">
        <v>48</v>
      </c>
      <c r="B164" s="9" t="s">
        <v>116</v>
      </c>
      <c r="C164" s="9" t="s">
        <v>196</v>
      </c>
      <c r="D164" s="9" t="s">
        <v>223</v>
      </c>
      <c r="E164" s="53" t="s">
        <v>310</v>
      </c>
      <c r="F164" s="24">
        <v>55</v>
      </c>
    </row>
    <row r="165" spans="1:6" ht="12.75">
      <c r="A165" s="9"/>
      <c r="B165" s="9"/>
      <c r="C165" s="9"/>
      <c r="D165" s="9"/>
      <c r="E165" s="53" t="s">
        <v>61</v>
      </c>
      <c r="F165" s="24"/>
    </row>
    <row r="166" spans="1:6" ht="12.75">
      <c r="A166" s="9" t="s">
        <v>49</v>
      </c>
      <c r="B166" s="9" t="s">
        <v>117</v>
      </c>
      <c r="C166" s="9" t="s">
        <v>197</v>
      </c>
      <c r="D166" s="9" t="s">
        <v>223</v>
      </c>
      <c r="E166" s="53" t="s">
        <v>294</v>
      </c>
      <c r="F166" s="24">
        <v>228.81</v>
      </c>
    </row>
    <row r="167" spans="1:6" ht="12.75">
      <c r="A167" s="9"/>
      <c r="B167" s="9"/>
      <c r="C167" s="9"/>
      <c r="D167" s="9"/>
      <c r="E167" s="53" t="s">
        <v>302</v>
      </c>
      <c r="F167" s="24"/>
    </row>
    <row r="168" spans="1:6" ht="12.75">
      <c r="A168" s="9"/>
      <c r="B168" s="9"/>
      <c r="C168" s="9"/>
      <c r="D168" s="9"/>
      <c r="E168" s="53" t="s">
        <v>286</v>
      </c>
      <c r="F168" s="24"/>
    </row>
    <row r="169" spans="1:6" ht="12.75">
      <c r="A169" s="9"/>
      <c r="B169" s="9"/>
      <c r="C169" s="9"/>
      <c r="D169" s="9"/>
      <c r="E169" s="53" t="s">
        <v>384</v>
      </c>
      <c r="F169" s="24"/>
    </row>
    <row r="170" spans="1:6" ht="12.75">
      <c r="A170" s="9"/>
      <c r="B170" s="9"/>
      <c r="C170" s="9"/>
      <c r="D170" s="9"/>
      <c r="E170" s="53" t="s">
        <v>385</v>
      </c>
      <c r="F170" s="24"/>
    </row>
    <row r="171" spans="1:6" ht="12.75">
      <c r="A171" s="9"/>
      <c r="B171" s="9"/>
      <c r="C171" s="9"/>
      <c r="D171" s="9"/>
      <c r="E171" s="53" t="s">
        <v>386</v>
      </c>
      <c r="F171" s="24"/>
    </row>
    <row r="172" spans="1:6" ht="12.75">
      <c r="A172" s="9"/>
      <c r="B172" s="9"/>
      <c r="C172" s="9"/>
      <c r="D172" s="9"/>
      <c r="E172" s="53" t="s">
        <v>283</v>
      </c>
      <c r="F172" s="24"/>
    </row>
    <row r="173" spans="1:6" ht="12.75">
      <c r="A173" s="9"/>
      <c r="B173" s="9"/>
      <c r="C173" s="9"/>
      <c r="D173" s="9"/>
      <c r="E173" s="53" t="s">
        <v>387</v>
      </c>
      <c r="F173" s="24"/>
    </row>
    <row r="174" spans="1:6" ht="12.75">
      <c r="A174" s="9" t="s">
        <v>50</v>
      </c>
      <c r="B174" s="9" t="s">
        <v>119</v>
      </c>
      <c r="C174" s="9" t="s">
        <v>199</v>
      </c>
      <c r="D174" s="9" t="s">
        <v>228</v>
      </c>
      <c r="E174" s="53"/>
      <c r="F174" s="24">
        <v>43.19918</v>
      </c>
    </row>
    <row r="175" spans="1:6" ht="12.75">
      <c r="A175" s="9" t="s">
        <v>51</v>
      </c>
      <c r="B175" s="9" t="s">
        <v>121</v>
      </c>
      <c r="C175" s="9" t="s">
        <v>201</v>
      </c>
      <c r="D175" s="9" t="s">
        <v>228</v>
      </c>
      <c r="E175" s="53"/>
      <c r="F175" s="24">
        <v>32.8167</v>
      </c>
    </row>
    <row r="176" spans="1:6" ht="12.75">
      <c r="A176" s="9" t="s">
        <v>52</v>
      </c>
      <c r="B176" s="9" t="s">
        <v>122</v>
      </c>
      <c r="C176" s="9" t="s">
        <v>202</v>
      </c>
      <c r="D176" s="9" t="s">
        <v>228</v>
      </c>
      <c r="E176" s="53"/>
      <c r="F176" s="24">
        <v>32.81</v>
      </c>
    </row>
    <row r="177" spans="1:6" ht="12.75">
      <c r="A177" s="9" t="s">
        <v>53</v>
      </c>
      <c r="B177" s="9" t="s">
        <v>123</v>
      </c>
      <c r="C177" s="9" t="s">
        <v>203</v>
      </c>
      <c r="D177" s="9" t="s">
        <v>228</v>
      </c>
      <c r="E177" s="53" t="s">
        <v>388</v>
      </c>
      <c r="F177" s="24">
        <v>32.81</v>
      </c>
    </row>
    <row r="178" spans="1:6" ht="12.75">
      <c r="A178" s="9" t="s">
        <v>54</v>
      </c>
      <c r="B178" s="9" t="s">
        <v>124</v>
      </c>
      <c r="C178" s="9" t="s">
        <v>204</v>
      </c>
      <c r="D178" s="9" t="s">
        <v>228</v>
      </c>
      <c r="E178" s="53" t="s">
        <v>389</v>
      </c>
      <c r="F178" s="24">
        <v>32.81</v>
      </c>
    </row>
    <row r="179" spans="1:6" ht="12.75">
      <c r="A179" s="9" t="s">
        <v>55</v>
      </c>
      <c r="B179" s="9" t="s">
        <v>125</v>
      </c>
      <c r="C179" s="9" t="s">
        <v>205</v>
      </c>
      <c r="D179" s="9" t="s">
        <v>228</v>
      </c>
      <c r="E179" s="53" t="s">
        <v>390</v>
      </c>
      <c r="F179" s="24">
        <v>328.1</v>
      </c>
    </row>
    <row r="180" spans="1:6" ht="12.75">
      <c r="A180" s="9" t="s">
        <v>56</v>
      </c>
      <c r="B180" s="9" t="s">
        <v>126</v>
      </c>
      <c r="C180" s="9" t="s">
        <v>206</v>
      </c>
      <c r="D180" s="9" t="s">
        <v>228</v>
      </c>
      <c r="E180" s="53" t="s">
        <v>389</v>
      </c>
      <c r="F180" s="24">
        <v>32.81</v>
      </c>
    </row>
    <row r="181" spans="1:6" ht="12.75">
      <c r="A181" s="9" t="s">
        <v>57</v>
      </c>
      <c r="B181" s="9" t="s">
        <v>127</v>
      </c>
      <c r="C181" s="9" t="s">
        <v>207</v>
      </c>
      <c r="D181" s="9" t="s">
        <v>228</v>
      </c>
      <c r="E181" s="53" t="s">
        <v>389</v>
      </c>
      <c r="F181" s="24">
        <v>32.81</v>
      </c>
    </row>
    <row r="182" spans="1:6" ht="12.75">
      <c r="A182" s="9" t="s">
        <v>58</v>
      </c>
      <c r="B182" s="9" t="s">
        <v>128</v>
      </c>
      <c r="C182" s="9" t="s">
        <v>209</v>
      </c>
      <c r="D182" s="9" t="s">
        <v>229</v>
      </c>
      <c r="E182" s="53"/>
      <c r="F182" s="24">
        <v>1</v>
      </c>
    </row>
    <row r="183" spans="1:6" ht="12.75">
      <c r="A183" s="9" t="s">
        <v>59</v>
      </c>
      <c r="B183" s="9" t="s">
        <v>128</v>
      </c>
      <c r="C183" s="9" t="s">
        <v>210</v>
      </c>
      <c r="D183" s="9" t="s">
        <v>229</v>
      </c>
      <c r="E183" s="53"/>
      <c r="F183" s="24">
        <v>1</v>
      </c>
    </row>
    <row r="184" spans="1:6" ht="12.75">
      <c r="A184" s="9" t="s">
        <v>60</v>
      </c>
      <c r="B184" s="9" t="s">
        <v>128</v>
      </c>
      <c r="C184" s="9" t="s">
        <v>211</v>
      </c>
      <c r="D184" s="9" t="s">
        <v>229</v>
      </c>
      <c r="E184" s="53"/>
      <c r="F184" s="24">
        <v>1</v>
      </c>
    </row>
    <row r="185" spans="1:6" ht="12.75">
      <c r="A185" s="9" t="s">
        <v>61</v>
      </c>
      <c r="B185" s="9" t="s">
        <v>128</v>
      </c>
      <c r="C185" s="9" t="s">
        <v>212</v>
      </c>
      <c r="D185" s="9" t="s">
        <v>229</v>
      </c>
      <c r="E185" s="53"/>
      <c r="F185" s="24">
        <v>1</v>
      </c>
    </row>
    <row r="186" spans="1:6" ht="12.75">
      <c r="A186" s="9" t="s">
        <v>62</v>
      </c>
      <c r="B186" s="9" t="s">
        <v>129</v>
      </c>
      <c r="C186" s="9" t="s">
        <v>213</v>
      </c>
      <c r="D186" s="9" t="s">
        <v>229</v>
      </c>
      <c r="E186" s="53"/>
      <c r="F186" s="24">
        <v>2</v>
      </c>
    </row>
    <row r="187" spans="1:6" ht="12.75">
      <c r="A187" s="9" t="s">
        <v>63</v>
      </c>
      <c r="B187" s="9" t="s">
        <v>129</v>
      </c>
      <c r="C187" s="9" t="s">
        <v>214</v>
      </c>
      <c r="D187" s="9" t="s">
        <v>229</v>
      </c>
      <c r="E187" s="53"/>
      <c r="F187" s="24">
        <v>3</v>
      </c>
    </row>
    <row r="188" spans="1:6" ht="12.75">
      <c r="A188" s="9" t="s">
        <v>64</v>
      </c>
      <c r="B188" s="9" t="s">
        <v>130</v>
      </c>
      <c r="C188" s="9" t="s">
        <v>215</v>
      </c>
      <c r="D188" s="9" t="s">
        <v>223</v>
      </c>
      <c r="E188" s="53" t="s">
        <v>391</v>
      </c>
      <c r="F188" s="24">
        <v>135.38</v>
      </c>
    </row>
    <row r="189" spans="1:6" ht="12.75">
      <c r="A189" s="9"/>
      <c r="B189" s="9"/>
      <c r="C189" s="9"/>
      <c r="D189" s="9"/>
      <c r="E189" s="53" t="s">
        <v>392</v>
      </c>
      <c r="F189" s="24"/>
    </row>
    <row r="190" spans="1:6" ht="12.75">
      <c r="A190" s="9"/>
      <c r="B190" s="9"/>
      <c r="C190" s="9"/>
      <c r="D190" s="9"/>
      <c r="E190" s="53" t="s">
        <v>393</v>
      </c>
      <c r="F190" s="24"/>
    </row>
    <row r="191" spans="1:6" ht="12.75">
      <c r="A191" s="9" t="s">
        <v>65</v>
      </c>
      <c r="B191" s="9" t="s">
        <v>131</v>
      </c>
      <c r="C191" s="9" t="s">
        <v>216</v>
      </c>
      <c r="D191" s="9" t="s">
        <v>223</v>
      </c>
      <c r="E191" s="53" t="s">
        <v>394</v>
      </c>
      <c r="F191" s="24">
        <v>220.2</v>
      </c>
    </row>
    <row r="192" spans="1:6" ht="12.75">
      <c r="A192" s="9"/>
      <c r="B192" s="9"/>
      <c r="C192" s="9"/>
      <c r="D192" s="9"/>
      <c r="E192" s="53" t="s">
        <v>395</v>
      </c>
      <c r="F192" s="24"/>
    </row>
    <row r="193" spans="1:6" ht="12.75">
      <c r="A193" s="9"/>
      <c r="B193" s="9"/>
      <c r="C193" s="9"/>
      <c r="D193" s="9"/>
      <c r="E193" s="53" t="s">
        <v>396</v>
      </c>
      <c r="F193" s="24"/>
    </row>
    <row r="194" spans="1:6" ht="12.75">
      <c r="A194" s="9"/>
      <c r="B194" s="9"/>
      <c r="C194" s="9"/>
      <c r="D194" s="9"/>
      <c r="E194" s="53" t="s">
        <v>397</v>
      </c>
      <c r="F194" s="24"/>
    </row>
    <row r="195" spans="1:6" ht="12.75">
      <c r="A195" s="9" t="s">
        <v>66</v>
      </c>
      <c r="B195" s="9" t="s">
        <v>132</v>
      </c>
      <c r="C195" s="9" t="s">
        <v>217</v>
      </c>
      <c r="D195" s="9" t="s">
        <v>230</v>
      </c>
      <c r="E195" s="9"/>
      <c r="F195" s="24">
        <v>8</v>
      </c>
    </row>
    <row r="196" spans="1:6" ht="12.75">
      <c r="A196" s="33"/>
      <c r="B196" s="33"/>
      <c r="C196" s="33"/>
      <c r="D196" s="33"/>
      <c r="E196" s="33"/>
      <c r="F196" s="33"/>
    </row>
    <row r="197" spans="1:6" ht="12.75">
      <c r="A197" s="33"/>
      <c r="B197" s="33"/>
      <c r="C197" s="33"/>
      <c r="D197" s="33"/>
      <c r="E197" s="33"/>
      <c r="F197" s="33"/>
    </row>
    <row r="198" spans="1:6" ht="12.75">
      <c r="A198" s="33"/>
      <c r="B198" s="33"/>
      <c r="C198" s="33"/>
      <c r="D198" s="33"/>
      <c r="E198" s="33"/>
      <c r="F198" s="33"/>
    </row>
    <row r="199" spans="1:6" ht="12.75">
      <c r="A199" s="33"/>
      <c r="B199" s="33"/>
      <c r="C199" s="33"/>
      <c r="D199" s="33"/>
      <c r="E199" s="33"/>
      <c r="F199" s="33"/>
    </row>
    <row r="200" spans="1:6" ht="12.75">
      <c r="A200" s="33"/>
      <c r="B200" s="33"/>
      <c r="C200" s="33"/>
      <c r="D200" s="33"/>
      <c r="E200" s="33"/>
      <c r="F200" s="33"/>
    </row>
    <row r="201" spans="1:6" ht="12.75">
      <c r="A201" s="33"/>
      <c r="B201" s="33"/>
      <c r="C201" s="33"/>
      <c r="D201" s="33"/>
      <c r="E201" s="33"/>
      <c r="F201" s="33"/>
    </row>
    <row r="202" spans="1:6" ht="12.75">
      <c r="A202" s="33"/>
      <c r="B202" s="33"/>
      <c r="C202" s="33"/>
      <c r="D202" s="33"/>
      <c r="E202" s="33"/>
      <c r="F202" s="33"/>
    </row>
    <row r="203" spans="1:6" ht="12.75">
      <c r="A203" s="33"/>
      <c r="B203" s="33"/>
      <c r="C203" s="33"/>
      <c r="D203" s="33"/>
      <c r="E203" s="33"/>
      <c r="F203" s="33"/>
    </row>
    <row r="204" spans="1:6" ht="12.75">
      <c r="A204" s="33"/>
      <c r="B204" s="33"/>
      <c r="C204" s="33"/>
      <c r="D204" s="33"/>
      <c r="E204" s="33"/>
      <c r="F204" s="33"/>
    </row>
    <row r="205" spans="1:6" ht="12.75">
      <c r="A205" s="33"/>
      <c r="B205" s="33"/>
      <c r="C205" s="33"/>
      <c r="D205" s="33"/>
      <c r="E205" s="33"/>
      <c r="F205" s="33"/>
    </row>
    <row r="206" spans="1:6" ht="12.75">
      <c r="A206" s="33"/>
      <c r="B206" s="33"/>
      <c r="C206" s="33"/>
      <c r="D206" s="33"/>
      <c r="E206" s="33"/>
      <c r="F206" s="33"/>
    </row>
    <row r="207" spans="1:6" ht="12.75">
      <c r="A207" s="33"/>
      <c r="B207" s="33"/>
      <c r="C207" s="33"/>
      <c r="D207" s="33"/>
      <c r="E207" s="33"/>
      <c r="F207" s="33"/>
    </row>
    <row r="208" spans="1:6" ht="12.75">
      <c r="A208" s="33"/>
      <c r="B208" s="33"/>
      <c r="C208" s="33"/>
      <c r="D208" s="33"/>
      <c r="E208" s="33"/>
      <c r="F208" s="33"/>
    </row>
    <row r="209" spans="1:6" ht="12.75">
      <c r="A209" s="33"/>
      <c r="B209" s="33"/>
      <c r="C209" s="33"/>
      <c r="D209" s="33"/>
      <c r="E209" s="33"/>
      <c r="F209" s="33"/>
    </row>
    <row r="210" spans="1:6" ht="12.75">
      <c r="A210" s="33"/>
      <c r="B210" s="33"/>
      <c r="C210" s="33"/>
      <c r="D210" s="33"/>
      <c r="E210" s="33"/>
      <c r="F210" s="33"/>
    </row>
    <row r="211" spans="1:6" ht="12.75">
      <c r="A211" s="33"/>
      <c r="B211" s="33"/>
      <c r="C211" s="33"/>
      <c r="D211" s="33"/>
      <c r="E211" s="33"/>
      <c r="F211" s="33"/>
    </row>
    <row r="212" spans="1:6" ht="12.75">
      <c r="A212" s="33"/>
      <c r="B212" s="33"/>
      <c r="C212" s="33"/>
      <c r="D212" s="33"/>
      <c r="E212" s="33"/>
      <c r="F212" s="33"/>
    </row>
    <row r="213" spans="1:6" ht="12.75">
      <c r="A213" s="33"/>
      <c r="B213" s="33"/>
      <c r="C213" s="33"/>
      <c r="D213" s="33"/>
      <c r="E213" s="33"/>
      <c r="F213" s="33"/>
    </row>
    <row r="214" spans="1:6" ht="12.75">
      <c r="A214" s="33"/>
      <c r="B214" s="33"/>
      <c r="C214" s="33"/>
      <c r="D214" s="33"/>
      <c r="E214" s="33"/>
      <c r="F214" s="33"/>
    </row>
    <row r="215" spans="1:6" ht="12.75">
      <c r="A215" s="33"/>
      <c r="B215" s="33"/>
      <c r="C215" s="33"/>
      <c r="D215" s="33"/>
      <c r="E215" s="33"/>
      <c r="F215" s="33"/>
    </row>
    <row r="216" spans="1:6" ht="12.75">
      <c r="A216" s="33"/>
      <c r="B216" s="33"/>
      <c r="C216" s="33"/>
      <c r="D216" s="33"/>
      <c r="E216" s="33"/>
      <c r="F216" s="33"/>
    </row>
    <row r="217" spans="1:6" ht="12.75">
      <c r="A217" s="33"/>
      <c r="B217" s="33"/>
      <c r="C217" s="33"/>
      <c r="D217" s="33"/>
      <c r="E217" s="33"/>
      <c r="F217" s="33"/>
    </row>
    <row r="218" spans="1:6" ht="12.75">
      <c r="A218" s="33"/>
      <c r="B218" s="33"/>
      <c r="C218" s="33"/>
      <c r="D218" s="33"/>
      <c r="E218" s="33"/>
      <c r="F218" s="33"/>
    </row>
    <row r="219" spans="1:6" ht="12.75">
      <c r="A219" s="33"/>
      <c r="B219" s="33"/>
      <c r="C219" s="33"/>
      <c r="D219" s="33"/>
      <c r="E219" s="33"/>
      <c r="F219" s="33"/>
    </row>
    <row r="220" spans="1:6" ht="12.75">
      <c r="A220" s="33"/>
      <c r="B220" s="33"/>
      <c r="C220" s="33"/>
      <c r="D220" s="33"/>
      <c r="E220" s="33"/>
      <c r="F220" s="33"/>
    </row>
    <row r="221" spans="1:6" ht="12.75">
      <c r="A221" s="33"/>
      <c r="B221" s="33"/>
      <c r="C221" s="33"/>
      <c r="D221" s="33"/>
      <c r="E221" s="33"/>
      <c r="F221" s="33"/>
    </row>
    <row r="222" spans="1:6" ht="12.75">
      <c r="A222" s="33"/>
      <c r="B222" s="33"/>
      <c r="C222" s="33"/>
      <c r="D222" s="33"/>
      <c r="E222" s="33"/>
      <c r="F222" s="33"/>
    </row>
    <row r="223" spans="1:6" ht="12.75">
      <c r="A223" s="33"/>
      <c r="B223" s="33"/>
      <c r="C223" s="33"/>
      <c r="D223" s="33"/>
      <c r="E223" s="33"/>
      <c r="F223" s="33"/>
    </row>
    <row r="224" spans="1:6" ht="12.75">
      <c r="A224" s="33"/>
      <c r="B224" s="33"/>
      <c r="C224" s="33"/>
      <c r="D224" s="33"/>
      <c r="E224" s="33"/>
      <c r="F224" s="33"/>
    </row>
    <row r="225" spans="1:6" ht="12.75">
      <c r="A225" s="33"/>
      <c r="B225" s="33"/>
      <c r="C225" s="33"/>
      <c r="D225" s="33"/>
      <c r="E225" s="33"/>
      <c r="F225" s="33"/>
    </row>
    <row r="226" spans="1:6" ht="12.75">
      <c r="A226" s="33"/>
      <c r="B226" s="33"/>
      <c r="C226" s="33"/>
      <c r="D226" s="33"/>
      <c r="E226" s="33"/>
      <c r="F226" s="33"/>
    </row>
    <row r="227" spans="1:6" ht="12.75">
      <c r="A227" s="33"/>
      <c r="B227" s="33"/>
      <c r="C227" s="33"/>
      <c r="D227" s="33"/>
      <c r="E227" s="33"/>
      <c r="F227" s="33"/>
    </row>
    <row r="228" spans="1:6" ht="12.75">
      <c r="A228" s="33"/>
      <c r="B228" s="33"/>
      <c r="C228" s="33"/>
      <c r="D228" s="33"/>
      <c r="E228" s="33"/>
      <c r="F228" s="33"/>
    </row>
    <row r="229" spans="1:6" ht="12.75">
      <c r="A229" s="33"/>
      <c r="B229" s="33"/>
      <c r="C229" s="33"/>
      <c r="D229" s="33"/>
      <c r="E229" s="33"/>
      <c r="F229" s="33"/>
    </row>
    <row r="230" spans="1:6" ht="12.75">
      <c r="A230" s="33"/>
      <c r="B230" s="33"/>
      <c r="C230" s="33"/>
      <c r="D230" s="33"/>
      <c r="E230" s="33"/>
      <c r="F230" s="33"/>
    </row>
    <row r="231" spans="1:6" ht="12.75">
      <c r="A231" s="33"/>
      <c r="B231" s="33"/>
      <c r="C231" s="33"/>
      <c r="D231" s="33"/>
      <c r="E231" s="33"/>
      <c r="F231" s="33"/>
    </row>
    <row r="232" spans="1:6" ht="12.75">
      <c r="A232" s="33"/>
      <c r="B232" s="33"/>
      <c r="C232" s="33"/>
      <c r="D232" s="33"/>
      <c r="E232" s="33"/>
      <c r="F232" s="33"/>
    </row>
    <row r="233" spans="1:6" ht="12.75">
      <c r="A233" s="33"/>
      <c r="B233" s="33"/>
      <c r="C233" s="33"/>
      <c r="D233" s="33"/>
      <c r="E233" s="33"/>
      <c r="F233" s="33"/>
    </row>
    <row r="234" spans="1:6" ht="12.75">
      <c r="A234" s="33"/>
      <c r="B234" s="33"/>
      <c r="C234" s="33"/>
      <c r="D234" s="33"/>
      <c r="E234" s="33"/>
      <c r="F234" s="33"/>
    </row>
    <row r="235" spans="1:6" ht="12.75">
      <c r="A235" s="33"/>
      <c r="B235" s="33"/>
      <c r="C235" s="33"/>
      <c r="D235" s="33"/>
      <c r="E235" s="33"/>
      <c r="F235" s="33"/>
    </row>
    <row r="236" spans="1:6" ht="12.75">
      <c r="A236" s="33"/>
      <c r="B236" s="33"/>
      <c r="C236" s="33"/>
      <c r="D236" s="33"/>
      <c r="E236" s="33"/>
      <c r="F236" s="33"/>
    </row>
    <row r="237" spans="1:6" ht="12.75">
      <c r="A237" s="33"/>
      <c r="B237" s="33"/>
      <c r="C237" s="33"/>
      <c r="D237" s="33"/>
      <c r="E237" s="33"/>
      <c r="F237" s="33"/>
    </row>
    <row r="238" spans="1:6" ht="12.75">
      <c r="A238" s="33"/>
      <c r="B238" s="33"/>
      <c r="C238" s="33"/>
      <c r="D238" s="33"/>
      <c r="E238" s="33"/>
      <c r="F238" s="33"/>
    </row>
  </sheetData>
  <sheetProtection/>
  <mergeCells count="17">
    <mergeCell ref="D4:D5"/>
    <mergeCell ref="D6:D7"/>
    <mergeCell ref="D8:D9"/>
    <mergeCell ref="E2:F3"/>
    <mergeCell ref="E4:F5"/>
    <mergeCell ref="E6:F7"/>
    <mergeCell ref="E8:F9"/>
    <mergeCell ref="A1:F1"/>
    <mergeCell ref="A2:A3"/>
    <mergeCell ref="A4:A5"/>
    <mergeCell ref="A6:A7"/>
    <mergeCell ref="A8:A9"/>
    <mergeCell ref="B2:C3"/>
    <mergeCell ref="B4:C5"/>
    <mergeCell ref="B6:C7"/>
    <mergeCell ref="B8:C9"/>
    <mergeCell ref="D2:D3"/>
  </mergeCells>
  <printOptions/>
  <pageMargins left="0.1968503937007874" right="0.5905511811023622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C8" sqref="C8:D9"/>
    </sheetView>
  </sheetViews>
  <sheetFormatPr defaultColWidth="11.421875" defaultRowHeight="12.75"/>
  <cols>
    <col min="1" max="1" width="9.140625" style="0" customWidth="1"/>
    <col min="2" max="2" width="11.8515625" style="0" customWidth="1"/>
    <col min="3" max="3" width="21.7109375" style="0" customWidth="1"/>
    <col min="4" max="4" width="8.8515625" style="0" customWidth="1"/>
    <col min="5" max="5" width="14.00390625" style="0" customWidth="1"/>
    <col min="6" max="6" width="22.57421875" style="0" customWidth="1"/>
    <col min="7" max="7" width="9.140625" style="0" customWidth="1"/>
    <col min="8" max="8" width="11.8515625" style="0" customWidth="1"/>
    <col min="9" max="9" width="22.421875" style="0" customWidth="1"/>
  </cols>
  <sheetData>
    <row r="1" spans="1:9" ht="28.5" customHeight="1">
      <c r="A1" s="82" t="s">
        <v>398</v>
      </c>
      <c r="B1" s="83"/>
      <c r="C1" s="83"/>
      <c r="D1" s="83"/>
      <c r="E1" s="83"/>
      <c r="F1" s="83"/>
      <c r="G1" s="83"/>
      <c r="H1" s="83"/>
      <c r="I1" s="83"/>
    </row>
    <row r="2" spans="1:10" ht="12.75">
      <c r="A2" s="84" t="s">
        <v>1</v>
      </c>
      <c r="B2" s="85"/>
      <c r="C2" s="91" t="s">
        <v>133</v>
      </c>
      <c r="D2" s="92"/>
      <c r="E2" s="96" t="s">
        <v>237</v>
      </c>
      <c r="F2" s="96" t="s">
        <v>242</v>
      </c>
      <c r="G2" s="85"/>
      <c r="H2" s="96" t="s">
        <v>433</v>
      </c>
      <c r="I2" s="99" t="s">
        <v>437</v>
      </c>
      <c r="J2" s="3"/>
    </row>
    <row r="3" spans="1:10" ht="12.75">
      <c r="A3" s="86"/>
      <c r="B3" s="87"/>
      <c r="C3" s="93"/>
      <c r="D3" s="93"/>
      <c r="E3" s="87"/>
      <c r="F3" s="87"/>
      <c r="G3" s="87"/>
      <c r="H3" s="87"/>
      <c r="I3" s="100"/>
      <c r="J3" s="3"/>
    </row>
    <row r="4" spans="1:10" ht="12.75">
      <c r="A4" s="88" t="s">
        <v>2</v>
      </c>
      <c r="B4" s="87"/>
      <c r="C4" s="94" t="s">
        <v>134</v>
      </c>
      <c r="D4" s="87"/>
      <c r="E4" s="94" t="s">
        <v>238</v>
      </c>
      <c r="F4" s="94" t="s">
        <v>243</v>
      </c>
      <c r="G4" s="87"/>
      <c r="H4" s="94" t="s">
        <v>433</v>
      </c>
      <c r="I4" s="101" t="s">
        <v>438</v>
      </c>
      <c r="J4" s="3"/>
    </row>
    <row r="5" spans="1:10" ht="12.75">
      <c r="A5" s="86"/>
      <c r="B5" s="87"/>
      <c r="C5" s="87"/>
      <c r="D5" s="87"/>
      <c r="E5" s="87"/>
      <c r="F5" s="87"/>
      <c r="G5" s="87"/>
      <c r="H5" s="87"/>
      <c r="I5" s="100"/>
      <c r="J5" s="3"/>
    </row>
    <row r="6" spans="1:10" ht="12.75">
      <c r="A6" s="88" t="s">
        <v>3</v>
      </c>
      <c r="B6" s="87"/>
      <c r="C6" s="94" t="s">
        <v>135</v>
      </c>
      <c r="D6" s="87"/>
      <c r="E6" s="94" t="s">
        <v>239</v>
      </c>
      <c r="F6" s="94"/>
      <c r="G6" s="87"/>
      <c r="H6" s="94" t="s">
        <v>433</v>
      </c>
      <c r="I6" s="101"/>
      <c r="J6" s="3"/>
    </row>
    <row r="7" spans="1:10" ht="12.75">
      <c r="A7" s="86"/>
      <c r="B7" s="87"/>
      <c r="C7" s="87"/>
      <c r="D7" s="87"/>
      <c r="E7" s="87"/>
      <c r="F7" s="87"/>
      <c r="G7" s="87"/>
      <c r="H7" s="87"/>
      <c r="I7" s="100"/>
      <c r="J7" s="3"/>
    </row>
    <row r="8" spans="1:10" ht="12.75">
      <c r="A8" s="88" t="s">
        <v>219</v>
      </c>
      <c r="B8" s="87"/>
      <c r="C8" s="95"/>
      <c r="D8" s="87"/>
      <c r="E8" s="94" t="s">
        <v>220</v>
      </c>
      <c r="F8" s="87"/>
      <c r="G8" s="87"/>
      <c r="H8" s="94" t="s">
        <v>434</v>
      </c>
      <c r="I8" s="101" t="s">
        <v>66</v>
      </c>
      <c r="J8" s="3"/>
    </row>
    <row r="9" spans="1:10" ht="12.75">
      <c r="A9" s="86"/>
      <c r="B9" s="87"/>
      <c r="C9" s="87"/>
      <c r="D9" s="87"/>
      <c r="E9" s="87"/>
      <c r="F9" s="87"/>
      <c r="G9" s="87"/>
      <c r="H9" s="87"/>
      <c r="I9" s="100"/>
      <c r="J9" s="3"/>
    </row>
    <row r="10" spans="1:10" ht="12.75">
      <c r="A10" s="88" t="s">
        <v>4</v>
      </c>
      <c r="B10" s="87"/>
      <c r="C10" s="94"/>
      <c r="D10" s="87"/>
      <c r="E10" s="94" t="s">
        <v>240</v>
      </c>
      <c r="F10" s="94"/>
      <c r="G10" s="87"/>
      <c r="H10" s="94" t="s">
        <v>435</v>
      </c>
      <c r="I10" s="102"/>
      <c r="J10" s="3"/>
    </row>
    <row r="11" spans="1:10" ht="12.75">
      <c r="A11" s="89"/>
      <c r="B11" s="90"/>
      <c r="C11" s="90"/>
      <c r="D11" s="90"/>
      <c r="E11" s="90"/>
      <c r="F11" s="90"/>
      <c r="G11" s="90"/>
      <c r="H11" s="90"/>
      <c r="I11" s="103"/>
      <c r="J11" s="3"/>
    </row>
    <row r="12" spans="1:9" ht="23.25" customHeight="1">
      <c r="A12" s="104" t="s">
        <v>399</v>
      </c>
      <c r="B12" s="105"/>
      <c r="C12" s="105"/>
      <c r="D12" s="105"/>
      <c r="E12" s="105"/>
      <c r="F12" s="105"/>
      <c r="G12" s="105"/>
      <c r="H12" s="105"/>
      <c r="I12" s="105"/>
    </row>
    <row r="13" spans="1:10" ht="26.25" customHeight="1">
      <c r="A13" s="35" t="s">
        <v>400</v>
      </c>
      <c r="B13" s="106" t="s">
        <v>411</v>
      </c>
      <c r="C13" s="107"/>
      <c r="D13" s="35" t="s">
        <v>413</v>
      </c>
      <c r="E13" s="106" t="s">
        <v>421</v>
      </c>
      <c r="F13" s="107"/>
      <c r="G13" s="35" t="s">
        <v>422</v>
      </c>
      <c r="H13" s="106" t="s">
        <v>436</v>
      </c>
      <c r="I13" s="107"/>
      <c r="J13" s="3"/>
    </row>
    <row r="14" spans="1:10" ht="15" customHeight="1">
      <c r="A14" s="36" t="s">
        <v>401</v>
      </c>
      <c r="B14" s="37" t="s">
        <v>412</v>
      </c>
      <c r="C14" s="38"/>
      <c r="D14" s="97" t="s">
        <v>414</v>
      </c>
      <c r="E14" s="98"/>
      <c r="F14" s="38"/>
      <c r="G14" s="97" t="s">
        <v>423</v>
      </c>
      <c r="H14" s="98"/>
      <c r="I14" s="38"/>
      <c r="J14" s="3"/>
    </row>
    <row r="15" spans="1:10" ht="15" customHeight="1">
      <c r="A15" s="39"/>
      <c r="B15" s="37" t="s">
        <v>241</v>
      </c>
      <c r="C15" s="38"/>
      <c r="D15" s="97" t="s">
        <v>415</v>
      </c>
      <c r="E15" s="98"/>
      <c r="F15" s="38"/>
      <c r="G15" s="97" t="s">
        <v>424</v>
      </c>
      <c r="H15" s="98"/>
      <c r="I15" s="38"/>
      <c r="J15" s="3"/>
    </row>
    <row r="16" spans="1:10" ht="15" customHeight="1">
      <c r="A16" s="36" t="s">
        <v>402</v>
      </c>
      <c r="B16" s="37" t="s">
        <v>412</v>
      </c>
      <c r="C16" s="38"/>
      <c r="D16" s="97" t="s">
        <v>416</v>
      </c>
      <c r="E16" s="98"/>
      <c r="F16" s="38"/>
      <c r="G16" s="97" t="s">
        <v>425</v>
      </c>
      <c r="H16" s="98"/>
      <c r="I16" s="38"/>
      <c r="J16" s="3"/>
    </row>
    <row r="17" spans="1:10" ht="15" customHeight="1">
      <c r="A17" s="39"/>
      <c r="B17" s="37" t="s">
        <v>241</v>
      </c>
      <c r="C17" s="38"/>
      <c r="D17" s="97"/>
      <c r="E17" s="98"/>
      <c r="F17" s="40"/>
      <c r="G17" s="97" t="s">
        <v>426</v>
      </c>
      <c r="H17" s="98"/>
      <c r="I17" s="38"/>
      <c r="J17" s="3"/>
    </row>
    <row r="18" spans="1:10" ht="15" customHeight="1">
      <c r="A18" s="36" t="s">
        <v>403</v>
      </c>
      <c r="B18" s="37" t="s">
        <v>412</v>
      </c>
      <c r="C18" s="38"/>
      <c r="D18" s="97"/>
      <c r="E18" s="98"/>
      <c r="F18" s="40"/>
      <c r="G18" s="97" t="s">
        <v>427</v>
      </c>
      <c r="H18" s="98"/>
      <c r="I18" s="38"/>
      <c r="J18" s="3"/>
    </row>
    <row r="19" spans="1:10" ht="15" customHeight="1">
      <c r="A19" s="39"/>
      <c r="B19" s="37" t="s">
        <v>241</v>
      </c>
      <c r="C19" s="38"/>
      <c r="D19" s="97"/>
      <c r="E19" s="98"/>
      <c r="F19" s="40"/>
      <c r="G19" s="97" t="s">
        <v>428</v>
      </c>
      <c r="H19" s="98"/>
      <c r="I19" s="38"/>
      <c r="J19" s="3"/>
    </row>
    <row r="20" spans="1:10" ht="15" customHeight="1">
      <c r="A20" s="106" t="s">
        <v>208</v>
      </c>
      <c r="B20" s="107"/>
      <c r="C20" s="38"/>
      <c r="D20" s="97"/>
      <c r="E20" s="98"/>
      <c r="F20" s="40"/>
      <c r="G20" s="97"/>
      <c r="H20" s="98"/>
      <c r="I20" s="40"/>
      <c r="J20" s="3"/>
    </row>
    <row r="21" spans="1:10" ht="15" customHeight="1">
      <c r="A21" s="106" t="s">
        <v>404</v>
      </c>
      <c r="B21" s="107"/>
      <c r="C21" s="38"/>
      <c r="D21" s="97"/>
      <c r="E21" s="98"/>
      <c r="F21" s="40"/>
      <c r="G21" s="97"/>
      <c r="H21" s="98"/>
      <c r="I21" s="40"/>
      <c r="J21" s="3"/>
    </row>
    <row r="22" spans="1:10" ht="16.5" customHeight="1">
      <c r="A22" s="106" t="s">
        <v>405</v>
      </c>
      <c r="B22" s="107"/>
      <c r="C22" s="38"/>
      <c r="D22" s="106" t="s">
        <v>417</v>
      </c>
      <c r="E22" s="107"/>
      <c r="F22" s="38"/>
      <c r="G22" s="106" t="s">
        <v>429</v>
      </c>
      <c r="H22" s="107"/>
      <c r="I22" s="38"/>
      <c r="J22" s="3"/>
    </row>
    <row r="23" spans="1:9" ht="12.75">
      <c r="A23" s="41"/>
      <c r="B23" s="41"/>
      <c r="C23" s="41"/>
      <c r="D23" s="42"/>
      <c r="E23" s="42"/>
      <c r="F23" s="42"/>
      <c r="G23" s="42"/>
      <c r="H23" s="42"/>
      <c r="I23" s="42"/>
    </row>
    <row r="24" spans="1:9" ht="15" customHeight="1">
      <c r="A24" s="108" t="s">
        <v>406</v>
      </c>
      <c r="B24" s="109"/>
      <c r="C24" s="43"/>
      <c r="D24" s="44"/>
      <c r="E24" s="45"/>
      <c r="F24" s="45"/>
      <c r="G24" s="45"/>
      <c r="H24" s="45"/>
      <c r="I24" s="45"/>
    </row>
    <row r="25" spans="1:10" ht="15" customHeight="1">
      <c r="A25" s="108" t="s">
        <v>407</v>
      </c>
      <c r="B25" s="109"/>
      <c r="C25" s="43"/>
      <c r="D25" s="108" t="s">
        <v>418</v>
      </c>
      <c r="E25" s="109"/>
      <c r="F25" s="43"/>
      <c r="G25" s="108" t="s">
        <v>430</v>
      </c>
      <c r="H25" s="109"/>
      <c r="I25" s="43"/>
      <c r="J25" s="3"/>
    </row>
    <row r="26" spans="1:10" ht="15" customHeight="1">
      <c r="A26" s="108" t="s">
        <v>408</v>
      </c>
      <c r="B26" s="109"/>
      <c r="C26" s="43"/>
      <c r="D26" s="108" t="s">
        <v>419</v>
      </c>
      <c r="E26" s="109"/>
      <c r="F26" s="43"/>
      <c r="G26" s="108" t="s">
        <v>431</v>
      </c>
      <c r="H26" s="109"/>
      <c r="I26" s="43"/>
      <c r="J26" s="3"/>
    </row>
    <row r="27" spans="1:9" ht="12.75">
      <c r="A27" s="46"/>
      <c r="B27" s="46"/>
      <c r="C27" s="46"/>
      <c r="D27" s="46"/>
      <c r="E27" s="46"/>
      <c r="F27" s="46"/>
      <c r="G27" s="46"/>
      <c r="H27" s="46"/>
      <c r="I27" s="46"/>
    </row>
    <row r="28" spans="1:10" ht="14.25" customHeight="1">
      <c r="A28" s="110" t="s">
        <v>409</v>
      </c>
      <c r="B28" s="111"/>
      <c r="C28" s="112"/>
      <c r="D28" s="110" t="s">
        <v>420</v>
      </c>
      <c r="E28" s="111"/>
      <c r="F28" s="112"/>
      <c r="G28" s="110" t="s">
        <v>432</v>
      </c>
      <c r="H28" s="111"/>
      <c r="I28" s="112"/>
      <c r="J28" s="4"/>
    </row>
    <row r="29" spans="1:10" ht="14.25" customHeight="1">
      <c r="A29" s="113"/>
      <c r="B29" s="87"/>
      <c r="C29" s="114"/>
      <c r="D29" s="113"/>
      <c r="E29" s="87"/>
      <c r="F29" s="114"/>
      <c r="G29" s="113"/>
      <c r="H29" s="87"/>
      <c r="I29" s="114"/>
      <c r="J29" s="4"/>
    </row>
    <row r="30" spans="1:10" ht="14.25" customHeight="1">
      <c r="A30" s="113"/>
      <c r="B30" s="87"/>
      <c r="C30" s="114"/>
      <c r="D30" s="113"/>
      <c r="E30" s="87"/>
      <c r="F30" s="114"/>
      <c r="G30" s="113"/>
      <c r="H30" s="87"/>
      <c r="I30" s="114"/>
      <c r="J30" s="4"/>
    </row>
    <row r="31" spans="1:10" ht="14.25" customHeight="1">
      <c r="A31" s="113"/>
      <c r="B31" s="87"/>
      <c r="C31" s="114"/>
      <c r="D31" s="113"/>
      <c r="E31" s="87"/>
      <c r="F31" s="114"/>
      <c r="G31" s="113"/>
      <c r="H31" s="87"/>
      <c r="I31" s="114"/>
      <c r="J31" s="4"/>
    </row>
    <row r="32" spans="1:10" ht="14.25" customHeight="1">
      <c r="A32" s="115" t="s">
        <v>410</v>
      </c>
      <c r="B32" s="116"/>
      <c r="C32" s="117"/>
      <c r="D32" s="115" t="s">
        <v>410</v>
      </c>
      <c r="E32" s="116"/>
      <c r="F32" s="117"/>
      <c r="G32" s="115" t="s">
        <v>410</v>
      </c>
      <c r="H32" s="116"/>
      <c r="I32" s="117"/>
      <c r="J32" s="4"/>
    </row>
    <row r="33" spans="1:9" ht="12.75">
      <c r="A33" s="8"/>
      <c r="B33" s="8"/>
      <c r="C33" s="8"/>
      <c r="D33" s="8"/>
      <c r="E33" s="8"/>
      <c r="F33" s="8"/>
      <c r="G33" s="8"/>
      <c r="H33" s="8"/>
      <c r="I33" s="8"/>
    </row>
  </sheetData>
  <sheetProtection/>
  <mergeCells count="78">
    <mergeCell ref="D29:F29"/>
    <mergeCell ref="D30:F30"/>
    <mergeCell ref="D31:F31"/>
    <mergeCell ref="D32:F32"/>
    <mergeCell ref="A26:B26"/>
    <mergeCell ref="G29:I29"/>
    <mergeCell ref="G30:I30"/>
    <mergeCell ref="G31:I31"/>
    <mergeCell ref="G32:I32"/>
    <mergeCell ref="A29:C29"/>
    <mergeCell ref="D26:E26"/>
    <mergeCell ref="A30:C30"/>
    <mergeCell ref="A31:C31"/>
    <mergeCell ref="A32:C32"/>
    <mergeCell ref="G25:H25"/>
    <mergeCell ref="G26:H26"/>
    <mergeCell ref="A28:C28"/>
    <mergeCell ref="G28:I28"/>
    <mergeCell ref="D28:F28"/>
    <mergeCell ref="G19:H19"/>
    <mergeCell ref="G20:H20"/>
    <mergeCell ref="G21:H21"/>
    <mergeCell ref="G22:H22"/>
    <mergeCell ref="A24:B24"/>
    <mergeCell ref="A25:B25"/>
    <mergeCell ref="D25:E25"/>
    <mergeCell ref="D18:E18"/>
    <mergeCell ref="D19:E19"/>
    <mergeCell ref="D20:E20"/>
    <mergeCell ref="D21:E21"/>
    <mergeCell ref="D22:E22"/>
    <mergeCell ref="A20:B20"/>
    <mergeCell ref="A21:B21"/>
    <mergeCell ref="A22:B22"/>
    <mergeCell ref="G14:H14"/>
    <mergeCell ref="G15:H15"/>
    <mergeCell ref="G16:H16"/>
    <mergeCell ref="G17:H17"/>
    <mergeCell ref="G18:H18"/>
    <mergeCell ref="B13:C13"/>
    <mergeCell ref="E13:F13"/>
    <mergeCell ref="H13:I13"/>
    <mergeCell ref="D14:E14"/>
    <mergeCell ref="D15:E15"/>
    <mergeCell ref="D16:E16"/>
    <mergeCell ref="D17:E17"/>
    <mergeCell ref="I2:I3"/>
    <mergeCell ref="I4:I5"/>
    <mergeCell ref="I6:I7"/>
    <mergeCell ref="I8:I9"/>
    <mergeCell ref="I10:I11"/>
    <mergeCell ref="A12:I12"/>
    <mergeCell ref="F2:G3"/>
    <mergeCell ref="F4:G5"/>
    <mergeCell ref="F6:G7"/>
    <mergeCell ref="F8:G9"/>
    <mergeCell ref="F10:G11"/>
    <mergeCell ref="H2:H3"/>
    <mergeCell ref="H4:H5"/>
    <mergeCell ref="H6:H7"/>
    <mergeCell ref="H8:H9"/>
    <mergeCell ref="H10:H11"/>
    <mergeCell ref="C10:D11"/>
    <mergeCell ref="E2:E3"/>
    <mergeCell ref="E4:E5"/>
    <mergeCell ref="E6:E7"/>
    <mergeCell ref="E8:E9"/>
    <mergeCell ref="E10:E11"/>
    <mergeCell ref="A1:I1"/>
    <mergeCell ref="A2:B3"/>
    <mergeCell ref="A4:B5"/>
    <mergeCell ref="A6:B7"/>
    <mergeCell ref="A8:B9"/>
    <mergeCell ref="A10:B11"/>
    <mergeCell ref="C2:D3"/>
    <mergeCell ref="C4:D5"/>
    <mergeCell ref="C6:D7"/>
    <mergeCell ref="C8:D9"/>
  </mergeCells>
  <printOptions/>
  <pageMargins left="0.1968503937007874" right="0.5905511811023622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Standard</cp:lastModifiedBy>
  <dcterms:modified xsi:type="dcterms:W3CDTF">2014-05-08T17:46:06Z</dcterms:modified>
  <cp:category/>
  <cp:version/>
  <cp:contentType/>
  <cp:contentStatus/>
</cp:coreProperties>
</file>